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rbor145-my.sharepoint.com/personal/bokeeffe_arbor145_org/Documents/BKO Z Drive Documents/2020 FY Budget/"/>
    </mc:Choice>
  </mc:AlternateContent>
  <xr:revisionPtr revIDLastSave="0" documentId="11_914CBC5F47FA169786459B254C359B2917DDD2C1" xr6:coauthVersionLast="47" xr6:coauthVersionMax="47" xr10:uidLastSave="{00000000-0000-0000-0000-000000000000}"/>
  <bookViews>
    <workbookView xWindow="0" yWindow="345" windowWidth="28800" windowHeight="12300" firstSheet="5" activeTab="5" xr2:uid="{00000000-000D-0000-FFFF-FFFF00000000}"/>
  </bookViews>
  <sheets>
    <sheet name="Recap - 09-2018" sheetId="55" r:id="rId1"/>
    <sheet name="FY19 Final - 5.00% Increase" sheetId="54" r:id="rId2"/>
    <sheet name="FY19 Final - 4.00% Increase" sheetId="53" r:id="rId3"/>
    <sheet name="FY19 Final - 3.50% Increase" sheetId="52" r:id="rId4"/>
    <sheet name="FY19 Final - BOE Offer 09-2018" sheetId="50" r:id="rId5"/>
    <sheet name="FY20 - FINAL BUDGET" sheetId="51" r:id="rId6"/>
  </sheets>
  <externalReferences>
    <externalReference r:id="rId7"/>
  </externalReferences>
  <definedNames>
    <definedName name="_xlnm.Print_Area" localSheetId="3">'FY19 Final - 3.50% Increase'!$A$1:$AA$50</definedName>
    <definedName name="_xlnm.Print_Area" localSheetId="2">'FY19 Final - 4.00% Increase'!$A$1:$AA$50</definedName>
    <definedName name="_xlnm.Print_Area" localSheetId="1">'FY19 Final - 5.00% Increase'!$A$1:$AA$50</definedName>
    <definedName name="_xlnm.Print_Area" localSheetId="4">'FY19 Final - BOE Offer 09-2018'!$A$1:$AA$50</definedName>
    <definedName name="_xlnm.Print_Area" localSheetId="5">'FY20 - FINAL BUDGET'!$A$1:$AA$50</definedName>
    <definedName name="_xlnm.Print_Area" localSheetId="0">'Recap - 09-2018'!$A$1:$N$27</definedName>
  </definedNames>
  <calcPr calcId="162913"/>
</workbook>
</file>

<file path=xl/calcChain.xml><?xml version="1.0" encoding="utf-8"?>
<calcChain xmlns="http://schemas.openxmlformats.org/spreadsheetml/2006/main">
  <c r="AA18" i="51" l="1"/>
  <c r="Z18" i="51"/>
  <c r="Z29" i="51"/>
  <c r="Y29" i="51"/>
  <c r="Y18" i="51"/>
  <c r="Y25" i="51"/>
  <c r="Z25" i="51" s="1"/>
  <c r="AA25" i="51" l="1"/>
  <c r="X31" i="51" l="1"/>
  <c r="B20" i="55" l="1"/>
  <c r="C20" i="55" s="1"/>
  <c r="D20" i="55" s="1"/>
  <c r="C22" i="55"/>
  <c r="D22" i="55" s="1"/>
  <c r="E22" i="55" s="1"/>
  <c r="B21" i="55"/>
  <c r="C21" i="55" s="1"/>
  <c r="D21" i="55" s="1"/>
  <c r="B22" i="55"/>
  <c r="B14" i="55"/>
  <c r="B13" i="55"/>
  <c r="C13" i="55" s="1"/>
  <c r="D13" i="55" s="1"/>
  <c r="E13" i="55" s="1"/>
  <c r="F13" i="55" s="1"/>
  <c r="G13" i="55" s="1"/>
  <c r="M13" i="55" s="1"/>
  <c r="C15" i="55"/>
  <c r="D15" i="55" s="1"/>
  <c r="E15" i="55" s="1"/>
  <c r="F15" i="55" s="1"/>
  <c r="L15" i="55" s="1"/>
  <c r="C14" i="55"/>
  <c r="D14" i="55" s="1"/>
  <c r="E14" i="55" s="1"/>
  <c r="F14" i="55" s="1"/>
  <c r="G14" i="55" s="1"/>
  <c r="M14" i="55" s="1"/>
  <c r="C12" i="55"/>
  <c r="D12" i="55" s="1"/>
  <c r="E12" i="55" s="1"/>
  <c r="K12" i="55" s="1"/>
  <c r="K22" i="55" l="1"/>
  <c r="F22" i="55"/>
  <c r="G22" i="55" s="1"/>
  <c r="J21" i="55"/>
  <c r="J22" i="55"/>
  <c r="C23" i="55"/>
  <c r="B23" i="55"/>
  <c r="L14" i="55"/>
  <c r="I22" i="55"/>
  <c r="I21" i="55"/>
  <c r="K13" i="55"/>
  <c r="J14" i="55"/>
  <c r="K14" i="55"/>
  <c r="L13" i="55"/>
  <c r="I15" i="55"/>
  <c r="J15" i="55"/>
  <c r="I13" i="55"/>
  <c r="K15" i="55"/>
  <c r="J13" i="55"/>
  <c r="I14" i="55"/>
  <c r="I20" i="55"/>
  <c r="E21" i="55"/>
  <c r="F12" i="55"/>
  <c r="F16" i="55" s="1"/>
  <c r="J12" i="55"/>
  <c r="I12" i="55"/>
  <c r="G15" i="55"/>
  <c r="M15" i="55" s="1"/>
  <c r="C16" i="55"/>
  <c r="B16" i="55"/>
  <c r="E16" i="55"/>
  <c r="D16" i="55"/>
  <c r="C25" i="55" l="1"/>
  <c r="B25" i="55"/>
  <c r="K16" i="55"/>
  <c r="N14" i="55"/>
  <c r="J16" i="55"/>
  <c r="N13" i="55"/>
  <c r="I16" i="55"/>
  <c r="N15" i="55"/>
  <c r="L22" i="55"/>
  <c r="D23" i="55"/>
  <c r="D25" i="55" s="1"/>
  <c r="J20" i="55"/>
  <c r="E20" i="55"/>
  <c r="K21" i="55"/>
  <c r="F21" i="55"/>
  <c r="I23" i="55"/>
  <c r="G12" i="55"/>
  <c r="M12" i="55" s="1"/>
  <c r="M16" i="55" s="1"/>
  <c r="L12" i="55"/>
  <c r="L16" i="55" s="1"/>
  <c r="W25" i="54"/>
  <c r="X39" i="54"/>
  <c r="X32" i="54" s="1"/>
  <c r="T39" i="54"/>
  <c r="Q39" i="54"/>
  <c r="Q30" i="54" s="1"/>
  <c r="Q34" i="54" s="1"/>
  <c r="Q24" i="54" s="1"/>
  <c r="L36" i="54"/>
  <c r="H36" i="54"/>
  <c r="D36" i="54"/>
  <c r="S34" i="54"/>
  <c r="S24" i="54" s="1"/>
  <c r="N34" i="54"/>
  <c r="N24" i="54" s="1"/>
  <c r="M34" i="54"/>
  <c r="M24" i="54" s="1"/>
  <c r="L34" i="54"/>
  <c r="K34" i="54"/>
  <c r="J34" i="54"/>
  <c r="J24" i="54" s="1"/>
  <c r="I34" i="54"/>
  <c r="I24" i="54" s="1"/>
  <c r="H34" i="54"/>
  <c r="G34" i="54"/>
  <c r="F34" i="54"/>
  <c r="F24" i="54" s="1"/>
  <c r="E34" i="54"/>
  <c r="E24" i="54" s="1"/>
  <c r="D34" i="54"/>
  <c r="C34" i="54"/>
  <c r="T33" i="54"/>
  <c r="O33" i="54"/>
  <c r="W32" i="54"/>
  <c r="V32" i="54"/>
  <c r="T32" i="54"/>
  <c r="Q32" i="54"/>
  <c r="AA31" i="54"/>
  <c r="Z31" i="54"/>
  <c r="Z16" i="54" s="1"/>
  <c r="Y31" i="54"/>
  <c r="X31" i="54"/>
  <c r="V31" i="54"/>
  <c r="V34" i="54" s="1"/>
  <c r="T31" i="54"/>
  <c r="T34" i="54" s="1"/>
  <c r="T24" i="54" s="1"/>
  <c r="S31" i="54"/>
  <c r="Q31" i="54"/>
  <c r="P31" i="54"/>
  <c r="O31" i="54"/>
  <c r="X30" i="54"/>
  <c r="T30" i="54"/>
  <c r="P30" i="54"/>
  <c r="P34" i="54" s="1"/>
  <c r="P24" i="54" s="1"/>
  <c r="AA29" i="54"/>
  <c r="Z29" i="54"/>
  <c r="Y29" i="54"/>
  <c r="X29" i="54"/>
  <c r="X28" i="54"/>
  <c r="X27" i="54"/>
  <c r="X26" i="54"/>
  <c r="R24" i="54"/>
  <c r="L24" i="54"/>
  <c r="K24" i="54"/>
  <c r="H24" i="54"/>
  <c r="G24" i="54"/>
  <c r="D24" i="54"/>
  <c r="C24" i="54"/>
  <c r="S22" i="54"/>
  <c r="Q22" i="54"/>
  <c r="Q36" i="54" s="1"/>
  <c r="N22" i="54"/>
  <c r="N36" i="54" s="1"/>
  <c r="M22" i="54"/>
  <c r="M36" i="54" s="1"/>
  <c r="L22" i="54"/>
  <c r="K22" i="54"/>
  <c r="K36" i="54" s="1"/>
  <c r="J22" i="54"/>
  <c r="J36" i="54" s="1"/>
  <c r="I22" i="54"/>
  <c r="I36" i="54" s="1"/>
  <c r="H22" i="54"/>
  <c r="G22" i="54"/>
  <c r="G36" i="54" s="1"/>
  <c r="F22" i="54"/>
  <c r="F36" i="54" s="1"/>
  <c r="E22" i="54"/>
  <c r="E36" i="54" s="1"/>
  <c r="D22" i="54"/>
  <c r="C22" i="54"/>
  <c r="C43" i="54" s="1"/>
  <c r="D13" i="54" s="1"/>
  <c r="D43" i="54" s="1"/>
  <c r="E13" i="54" s="1"/>
  <c r="E43" i="54" s="1"/>
  <c r="F13" i="54" s="1"/>
  <c r="F43" i="54" s="1"/>
  <c r="G13" i="54" s="1"/>
  <c r="G43" i="54" s="1"/>
  <c r="H13" i="54" s="1"/>
  <c r="H43" i="54" s="1"/>
  <c r="I13" i="54" s="1"/>
  <c r="I43" i="54" s="1"/>
  <c r="J13" i="54" s="1"/>
  <c r="J43" i="54" s="1"/>
  <c r="K13" i="54" s="1"/>
  <c r="K43" i="54" s="1"/>
  <c r="L13" i="54" s="1"/>
  <c r="L43" i="54" s="1"/>
  <c r="M13" i="54" s="1"/>
  <c r="M43" i="54" s="1"/>
  <c r="N13" i="54" s="1"/>
  <c r="N43" i="54" s="1"/>
  <c r="T21" i="54"/>
  <c r="T22" i="54" s="1"/>
  <c r="T36" i="54" s="1"/>
  <c r="O21" i="54"/>
  <c r="Y20" i="54"/>
  <c r="Z20" i="54" s="1"/>
  <c r="AA20" i="54" s="1"/>
  <c r="X20" i="54"/>
  <c r="Z19" i="54"/>
  <c r="AA19" i="54" s="1"/>
  <c r="Y19" i="54"/>
  <c r="X19" i="54"/>
  <c r="Q19" i="54"/>
  <c r="O19" i="54"/>
  <c r="O22" i="54" s="1"/>
  <c r="X18" i="54"/>
  <c r="W18" i="54"/>
  <c r="V18" i="54"/>
  <c r="V22" i="54" s="1"/>
  <c r="Q18" i="54"/>
  <c r="W17" i="54"/>
  <c r="P17" i="54"/>
  <c r="O17" i="54"/>
  <c r="Y16" i="54"/>
  <c r="X16" i="54"/>
  <c r="P16" i="54"/>
  <c r="P22" i="54" s="1"/>
  <c r="P36" i="54" s="1"/>
  <c r="W25" i="53"/>
  <c r="W34" i="53" s="1"/>
  <c r="X39" i="53"/>
  <c r="Y39" i="53" s="1"/>
  <c r="T39" i="53"/>
  <c r="Q39" i="53"/>
  <c r="Q30" i="53" s="1"/>
  <c r="Q34" i="53" s="1"/>
  <c r="Q24" i="53" s="1"/>
  <c r="N36" i="53"/>
  <c r="K36" i="53"/>
  <c r="J36" i="53"/>
  <c r="G36" i="53"/>
  <c r="F36" i="53"/>
  <c r="C36" i="53"/>
  <c r="N34" i="53"/>
  <c r="M34" i="53"/>
  <c r="M24" i="53" s="1"/>
  <c r="L34" i="53"/>
  <c r="K34" i="53"/>
  <c r="J34" i="53"/>
  <c r="I34" i="53"/>
  <c r="I24" i="53" s="1"/>
  <c r="H34" i="53"/>
  <c r="G34" i="53"/>
  <c r="F34" i="53"/>
  <c r="E34" i="53"/>
  <c r="E24" i="53" s="1"/>
  <c r="D34" i="53"/>
  <c r="C34" i="53"/>
  <c r="T33" i="53"/>
  <c r="O33" i="53"/>
  <c r="X32" i="53"/>
  <c r="W32" i="53"/>
  <c r="V32" i="53"/>
  <c r="T32" i="53"/>
  <c r="Q32" i="53"/>
  <c r="AA31" i="53"/>
  <c r="Z31" i="53"/>
  <c r="Y31" i="53"/>
  <c r="X31" i="53"/>
  <c r="V31" i="53"/>
  <c r="V34" i="53" s="1"/>
  <c r="T31" i="53"/>
  <c r="S31" i="53"/>
  <c r="S34" i="53" s="1"/>
  <c r="Q31" i="53"/>
  <c r="P31" i="53"/>
  <c r="O31" i="53"/>
  <c r="O32" i="53" s="1"/>
  <c r="X30" i="53"/>
  <c r="T30" i="53"/>
  <c r="T34" i="53" s="1"/>
  <c r="T24" i="53" s="1"/>
  <c r="P30" i="53"/>
  <c r="P34" i="53" s="1"/>
  <c r="P24" i="53" s="1"/>
  <c r="Z29" i="53"/>
  <c r="AA29" i="53" s="1"/>
  <c r="Y29" i="53"/>
  <c r="X29" i="53"/>
  <c r="X28" i="53"/>
  <c r="Y28" i="53" s="1"/>
  <c r="X27" i="53"/>
  <c r="Y27" i="53" s="1"/>
  <c r="X26" i="53"/>
  <c r="Y26" i="53" s="1"/>
  <c r="R24" i="53"/>
  <c r="N24" i="53"/>
  <c r="L24" i="53"/>
  <c r="K24" i="53"/>
  <c r="J24" i="53"/>
  <c r="H24" i="53"/>
  <c r="G24" i="53"/>
  <c r="F24" i="53"/>
  <c r="D24" i="53"/>
  <c r="C24" i="53"/>
  <c r="W22" i="53"/>
  <c r="S22" i="53"/>
  <c r="Q22" i="53"/>
  <c r="Q36" i="53" s="1"/>
  <c r="N22" i="53"/>
  <c r="M22" i="53"/>
  <c r="M36" i="53" s="1"/>
  <c r="L22" i="53"/>
  <c r="L36" i="53" s="1"/>
  <c r="K22" i="53"/>
  <c r="J22" i="53"/>
  <c r="I22" i="53"/>
  <c r="I36" i="53" s="1"/>
  <c r="H22" i="53"/>
  <c r="H36" i="53" s="1"/>
  <c r="G22" i="53"/>
  <c r="F22" i="53"/>
  <c r="E22" i="53"/>
  <c r="E36" i="53" s="1"/>
  <c r="D22" i="53"/>
  <c r="D36" i="53" s="1"/>
  <c r="C22" i="53"/>
  <c r="C43" i="53" s="1"/>
  <c r="D13" i="53" s="1"/>
  <c r="D43" i="53" s="1"/>
  <c r="E13" i="53" s="1"/>
  <c r="E43" i="53" s="1"/>
  <c r="F13" i="53" s="1"/>
  <c r="F43" i="53" s="1"/>
  <c r="G13" i="53" s="1"/>
  <c r="G43" i="53" s="1"/>
  <c r="H13" i="53" s="1"/>
  <c r="H43" i="53" s="1"/>
  <c r="I13" i="53" s="1"/>
  <c r="I43" i="53" s="1"/>
  <c r="J13" i="53" s="1"/>
  <c r="J43" i="53" s="1"/>
  <c r="K13" i="53" s="1"/>
  <c r="K43" i="53" s="1"/>
  <c r="L13" i="53" s="1"/>
  <c r="L43" i="53" s="1"/>
  <c r="M13" i="53" s="1"/>
  <c r="M43" i="53" s="1"/>
  <c r="N13" i="53" s="1"/>
  <c r="N43" i="53" s="1"/>
  <c r="T21" i="53"/>
  <c r="T22" i="53" s="1"/>
  <c r="O21" i="53"/>
  <c r="X20" i="53"/>
  <c r="X19" i="53"/>
  <c r="Q19" i="53"/>
  <c r="O19" i="53"/>
  <c r="W18" i="53"/>
  <c r="AE18" i="53" s="1"/>
  <c r="V18" i="53"/>
  <c r="V22" i="53" s="1"/>
  <c r="Q18" i="53"/>
  <c r="AE17" i="53"/>
  <c r="W17" i="53"/>
  <c r="X17" i="53" s="1"/>
  <c r="P17" i="53"/>
  <c r="O17" i="53"/>
  <c r="O22" i="53" s="1"/>
  <c r="X16" i="53"/>
  <c r="P16" i="53"/>
  <c r="P22" i="53" s="1"/>
  <c r="P36" i="53" s="1"/>
  <c r="W32" i="52"/>
  <c r="W32" i="50"/>
  <c r="N12" i="55" l="1"/>
  <c r="N16" i="55" s="1"/>
  <c r="J23" i="55"/>
  <c r="M22" i="55"/>
  <c r="L21" i="55"/>
  <c r="G21" i="55"/>
  <c r="M21" i="55" s="1"/>
  <c r="E23" i="55"/>
  <c r="E25" i="55" s="1"/>
  <c r="K20" i="55"/>
  <c r="F20" i="55"/>
  <c r="G16" i="55"/>
  <c r="AA16" i="54"/>
  <c r="V24" i="54"/>
  <c r="AD33" i="54"/>
  <c r="AD29" i="54"/>
  <c r="AD28" i="54"/>
  <c r="AD27" i="54"/>
  <c r="AD26" i="54"/>
  <c r="AD25" i="54"/>
  <c r="AD32" i="54"/>
  <c r="AD20" i="54"/>
  <c r="AD19" i="54"/>
  <c r="AD16" i="54"/>
  <c r="AD17" i="54"/>
  <c r="V36" i="54"/>
  <c r="AD18" i="54"/>
  <c r="AD21" i="54"/>
  <c r="S36" i="54"/>
  <c r="AD22" i="54"/>
  <c r="Y30" i="54"/>
  <c r="C36" i="54"/>
  <c r="W22" i="54"/>
  <c r="AE17" i="54"/>
  <c r="X17" i="54"/>
  <c r="Y18" i="54"/>
  <c r="O32" i="54"/>
  <c r="O34" i="54" s="1"/>
  <c r="AE18" i="54"/>
  <c r="W34" i="54"/>
  <c r="X25" i="54"/>
  <c r="AD30" i="54"/>
  <c r="Y26" i="54"/>
  <c r="Y27" i="54"/>
  <c r="Y28" i="54"/>
  <c r="AD31" i="54"/>
  <c r="Y39" i="54"/>
  <c r="AE33" i="53"/>
  <c r="AE31" i="53"/>
  <c r="AE25" i="53"/>
  <c r="W24" i="53"/>
  <c r="W36" i="53"/>
  <c r="T36" i="53"/>
  <c r="Z26" i="53"/>
  <c r="AA26" i="53" s="1"/>
  <c r="S24" i="53"/>
  <c r="S36" i="53"/>
  <c r="Y32" i="53"/>
  <c r="Z39" i="53"/>
  <c r="AD17" i="53"/>
  <c r="AD19" i="53"/>
  <c r="V36" i="53"/>
  <c r="AD21" i="53"/>
  <c r="AD22" i="53"/>
  <c r="AD16" i="53"/>
  <c r="AD20" i="53"/>
  <c r="Z27" i="53"/>
  <c r="AA27" i="53" s="1"/>
  <c r="Y17" i="53"/>
  <c r="Z28" i="53"/>
  <c r="AA28" i="53" s="1"/>
  <c r="V24" i="53"/>
  <c r="AD33" i="53"/>
  <c r="AD29" i="53"/>
  <c r="AD28" i="53"/>
  <c r="AD27" i="53"/>
  <c r="AD26" i="53"/>
  <c r="AD25" i="53"/>
  <c r="AD30" i="53"/>
  <c r="AD32" i="53"/>
  <c r="Y16" i="53"/>
  <c r="Y20" i="53"/>
  <c r="AE32" i="53"/>
  <c r="Y19" i="53"/>
  <c r="X18" i="53"/>
  <c r="AD18" i="53"/>
  <c r="AE22" i="53"/>
  <c r="X25" i="53"/>
  <c r="Y30" i="53"/>
  <c r="AE30" i="53"/>
  <c r="O34" i="53"/>
  <c r="O24" i="53" s="1"/>
  <c r="AE16" i="53"/>
  <c r="AE19" i="53"/>
  <c r="AE20" i="53"/>
  <c r="AE21" i="53"/>
  <c r="AE26" i="53"/>
  <c r="AE27" i="53"/>
  <c r="AE28" i="53"/>
  <c r="AE29" i="53"/>
  <c r="AD31" i="53"/>
  <c r="N22" i="55" l="1"/>
  <c r="K23" i="55"/>
  <c r="N21" i="55"/>
  <c r="F23" i="55"/>
  <c r="F25" i="55" s="1"/>
  <c r="L20" i="55"/>
  <c r="G20" i="55"/>
  <c r="O24" i="54"/>
  <c r="O43" i="54"/>
  <c r="P13" i="54" s="1"/>
  <c r="P43" i="54" s="1"/>
  <c r="Q13" i="54" s="1"/>
  <c r="Q43" i="54" s="1"/>
  <c r="S13" i="54" s="1"/>
  <c r="S43" i="54" s="1"/>
  <c r="T13" i="54" s="1"/>
  <c r="T43" i="54" s="1"/>
  <c r="V13" i="54" s="1"/>
  <c r="V43" i="54" s="1"/>
  <c r="W13" i="54" s="1"/>
  <c r="W43" i="54" s="1"/>
  <c r="X13" i="54" s="1"/>
  <c r="O36" i="54"/>
  <c r="Z39" i="54"/>
  <c r="Y32" i="54"/>
  <c r="Z26" i="54"/>
  <c r="AA26" i="54" s="1"/>
  <c r="Y25" i="54"/>
  <c r="X34" i="54"/>
  <c r="Y17" i="54"/>
  <c r="X22" i="54"/>
  <c r="Z30" i="54"/>
  <c r="AA30" i="54" s="1"/>
  <c r="AE31" i="54"/>
  <c r="AE33" i="54"/>
  <c r="AE29" i="54"/>
  <c r="AE28" i="54"/>
  <c r="AE27" i="54"/>
  <c r="AE26" i="54"/>
  <c r="AE30" i="54"/>
  <c r="AE32" i="54"/>
  <c r="AE25" i="54"/>
  <c r="Z27" i="54"/>
  <c r="AA27" i="54" s="1"/>
  <c r="Z28" i="54"/>
  <c r="AA28" i="54" s="1"/>
  <c r="W24" i="54"/>
  <c r="Z18" i="54"/>
  <c r="AA18" i="54" s="1"/>
  <c r="W36" i="54"/>
  <c r="AE21" i="54"/>
  <c r="AE22" i="54"/>
  <c r="AE20" i="54"/>
  <c r="AE19" i="54"/>
  <c r="AE16" i="54"/>
  <c r="Z30" i="53"/>
  <c r="AA30" i="53" s="1"/>
  <c r="Y18" i="53"/>
  <c r="AF18" i="53"/>
  <c r="AG20" i="53"/>
  <c r="Z20" i="53"/>
  <c r="AA20" i="53" s="1"/>
  <c r="Y25" i="53"/>
  <c r="X34" i="53"/>
  <c r="AF25" i="53"/>
  <c r="Y22" i="53"/>
  <c r="Z16" i="53"/>
  <c r="O36" i="53"/>
  <c r="Z19" i="53"/>
  <c r="AA19" i="53" s="1"/>
  <c r="AG17" i="53"/>
  <c r="Z17" i="53"/>
  <c r="AA17" i="53" s="1"/>
  <c r="Z32" i="53"/>
  <c r="AA39" i="53"/>
  <c r="AA32" i="53" s="1"/>
  <c r="O43" i="53"/>
  <c r="P13" i="53" s="1"/>
  <c r="P43" i="53" s="1"/>
  <c r="Q13" i="53" s="1"/>
  <c r="Q43" i="53" s="1"/>
  <c r="S13" i="53" s="1"/>
  <c r="S43" i="53" s="1"/>
  <c r="T13" i="53" s="1"/>
  <c r="T43" i="53" s="1"/>
  <c r="V13" i="53" s="1"/>
  <c r="V43" i="53" s="1"/>
  <c r="W13" i="53" s="1"/>
  <c r="W43" i="53" s="1"/>
  <c r="X13" i="53" s="1"/>
  <c r="X43" i="53" s="1"/>
  <c r="Y13" i="53" s="1"/>
  <c r="X22" i="53"/>
  <c r="G23" i="55" l="1"/>
  <c r="G25" i="55" s="1"/>
  <c r="M20" i="55"/>
  <c r="L23" i="55"/>
  <c r="X43" i="54"/>
  <c r="Y13" i="54" s="1"/>
  <c r="AF33" i="54"/>
  <c r="AF31" i="54"/>
  <c r="AF27" i="54"/>
  <c r="AF26" i="54"/>
  <c r="AF29" i="54"/>
  <c r="AF32" i="54"/>
  <c r="AF30" i="54"/>
  <c r="AF28" i="54"/>
  <c r="Z32" i="54"/>
  <c r="AA39" i="54"/>
  <c r="AA32" i="54" s="1"/>
  <c r="X36" i="54"/>
  <c r="AF21" i="54"/>
  <c r="AF20" i="54"/>
  <c r="AF19" i="54"/>
  <c r="AF16" i="54"/>
  <c r="AF18" i="54"/>
  <c r="AF22" i="54"/>
  <c r="X24" i="54"/>
  <c r="AF17" i="54"/>
  <c r="Z25" i="54"/>
  <c r="Y34" i="54"/>
  <c r="Y24" i="54"/>
  <c r="AG25" i="54"/>
  <c r="Y22" i="54"/>
  <c r="Z17" i="54"/>
  <c r="AG17" i="54"/>
  <c r="AF25" i="54"/>
  <c r="AA16" i="53"/>
  <c r="AF33" i="53"/>
  <c r="AF27" i="53"/>
  <c r="AF26" i="53"/>
  <c r="AF31" i="53"/>
  <c r="AF29" i="53"/>
  <c r="AF28" i="53"/>
  <c r="AF30" i="53"/>
  <c r="AF32" i="53"/>
  <c r="AG21" i="53"/>
  <c r="AG22" i="53"/>
  <c r="X24" i="53"/>
  <c r="AF22" i="53"/>
  <c r="AF21" i="53"/>
  <c r="X36" i="53"/>
  <c r="AF17" i="53"/>
  <c r="AF19" i="53"/>
  <c r="AF20" i="53"/>
  <c r="AF16" i="53"/>
  <c r="AG19" i="53"/>
  <c r="AG16" i="53"/>
  <c r="Y34" i="53"/>
  <c r="AG25" i="53" s="1"/>
  <c r="Y24" i="53"/>
  <c r="Z25" i="53"/>
  <c r="AG18" i="53"/>
  <c r="Z18" i="53"/>
  <c r="AA18" i="53" s="1"/>
  <c r="M23" i="55" l="1"/>
  <c r="N20" i="55"/>
  <c r="N23" i="55" s="1"/>
  <c r="AA17" i="54"/>
  <c r="AA22" i="54" s="1"/>
  <c r="Z22" i="54"/>
  <c r="AG21" i="54"/>
  <c r="Y36" i="54"/>
  <c r="AG20" i="54"/>
  <c r="AG16" i="54"/>
  <c r="AG19" i="54"/>
  <c r="AG22" i="54"/>
  <c r="AG18" i="54"/>
  <c r="AG31" i="54"/>
  <c r="AG33" i="54"/>
  <c r="AG29" i="54"/>
  <c r="AG27" i="54"/>
  <c r="AG28" i="54"/>
  <c r="AG26" i="54"/>
  <c r="AG30" i="54"/>
  <c r="AG32" i="54"/>
  <c r="Z34" i="54"/>
  <c r="Z24" i="54" s="1"/>
  <c r="AA25" i="54"/>
  <c r="Y43" i="54"/>
  <c r="Z13" i="54" s="1"/>
  <c r="Z43" i="54" s="1"/>
  <c r="AA13" i="54" s="1"/>
  <c r="AA22" i="53"/>
  <c r="Z34" i="53"/>
  <c r="Z24" i="53" s="1"/>
  <c r="AA25" i="53"/>
  <c r="Z22" i="53"/>
  <c r="AG29" i="53"/>
  <c r="AG33" i="53"/>
  <c r="AG28" i="53"/>
  <c r="AG26" i="53"/>
  <c r="AG31" i="53"/>
  <c r="AG27" i="53"/>
  <c r="AG30" i="53"/>
  <c r="AG32" i="53"/>
  <c r="Y36" i="53"/>
  <c r="Y43" i="53"/>
  <c r="Z13" i="53" s="1"/>
  <c r="AA34" i="54" l="1"/>
  <c r="AA36" i="54" s="1"/>
  <c r="AA24" i="54"/>
  <c r="AA43" i="54"/>
  <c r="Z36" i="54"/>
  <c r="Z36" i="53"/>
  <c r="AA34" i="53"/>
  <c r="AA36" i="53" s="1"/>
  <c r="Z43" i="53"/>
  <c r="AA13" i="53" s="1"/>
  <c r="AA24" i="53" l="1"/>
  <c r="AA43" i="53"/>
  <c r="W25" i="52" l="1"/>
  <c r="W34" i="52" s="1"/>
  <c r="AE31" i="52" s="1"/>
  <c r="Z39" i="52"/>
  <c r="Y39" i="52"/>
  <c r="X39" i="52"/>
  <c r="T39" i="52"/>
  <c r="Q39" i="52"/>
  <c r="Q30" i="52" s="1"/>
  <c r="Q34" i="52" s="1"/>
  <c r="Q24" i="52" s="1"/>
  <c r="N36" i="52"/>
  <c r="K36" i="52"/>
  <c r="J36" i="52"/>
  <c r="G36" i="52"/>
  <c r="F36" i="52"/>
  <c r="C36" i="52"/>
  <c r="N34" i="52"/>
  <c r="M34" i="52"/>
  <c r="M24" i="52" s="1"/>
  <c r="L34" i="52"/>
  <c r="K34" i="52"/>
  <c r="J34" i="52"/>
  <c r="I34" i="52"/>
  <c r="I24" i="52" s="1"/>
  <c r="H34" i="52"/>
  <c r="G34" i="52"/>
  <c r="F34" i="52"/>
  <c r="E34" i="52"/>
  <c r="E24" i="52" s="1"/>
  <c r="D34" i="52"/>
  <c r="C34" i="52"/>
  <c r="T33" i="52"/>
  <c r="O33" i="52"/>
  <c r="Y32" i="52"/>
  <c r="X32" i="52"/>
  <c r="V32" i="52"/>
  <c r="T32" i="52"/>
  <c r="Q32" i="52"/>
  <c r="AA31" i="52"/>
  <c r="Z31" i="52"/>
  <c r="Y31" i="52"/>
  <c r="X31" i="52"/>
  <c r="V31" i="52"/>
  <c r="V34" i="52" s="1"/>
  <c r="AD32" i="52" s="1"/>
  <c r="T31" i="52"/>
  <c r="S31" i="52"/>
  <c r="S34" i="52" s="1"/>
  <c r="S24" i="52" s="1"/>
  <c r="Q31" i="52"/>
  <c r="P31" i="52"/>
  <c r="O31" i="52"/>
  <c r="O32" i="52" s="1"/>
  <c r="X30" i="52"/>
  <c r="T30" i="52"/>
  <c r="T34" i="52" s="1"/>
  <c r="T24" i="52" s="1"/>
  <c r="P30" i="52"/>
  <c r="P34" i="52" s="1"/>
  <c r="P24" i="52" s="1"/>
  <c r="Z29" i="52"/>
  <c r="AA29" i="52" s="1"/>
  <c r="Y29" i="52"/>
  <c r="X29" i="52"/>
  <c r="Y28" i="52"/>
  <c r="Z28" i="52" s="1"/>
  <c r="AA28" i="52" s="1"/>
  <c r="X28" i="52"/>
  <c r="X27" i="52"/>
  <c r="Y27" i="52" s="1"/>
  <c r="Z27" i="52" s="1"/>
  <c r="AA27" i="52" s="1"/>
  <c r="X26" i="52"/>
  <c r="Y26" i="52" s="1"/>
  <c r="Z26" i="52" s="1"/>
  <c r="AA26" i="52" s="1"/>
  <c r="R24" i="52"/>
  <c r="N24" i="52"/>
  <c r="L24" i="52"/>
  <c r="K24" i="52"/>
  <c r="J24" i="52"/>
  <c r="H24" i="52"/>
  <c r="G24" i="52"/>
  <c r="F24" i="52"/>
  <c r="D24" i="52"/>
  <c r="C24" i="52"/>
  <c r="W22" i="52"/>
  <c r="S22" i="52"/>
  <c r="Q22" i="52"/>
  <c r="N22" i="52"/>
  <c r="M22" i="52"/>
  <c r="M36" i="52" s="1"/>
  <c r="L22" i="52"/>
  <c r="L36" i="52" s="1"/>
  <c r="K22" i="52"/>
  <c r="J22" i="52"/>
  <c r="I22" i="52"/>
  <c r="I36" i="52" s="1"/>
  <c r="H22" i="52"/>
  <c r="H36" i="52" s="1"/>
  <c r="G22" i="52"/>
  <c r="F22" i="52"/>
  <c r="E22" i="52"/>
  <c r="E36" i="52" s="1"/>
  <c r="D22" i="52"/>
  <c r="D36" i="52" s="1"/>
  <c r="C22" i="52"/>
  <c r="C43" i="52" s="1"/>
  <c r="D13" i="52" s="1"/>
  <c r="D43" i="52" s="1"/>
  <c r="E13" i="52" s="1"/>
  <c r="E43" i="52" s="1"/>
  <c r="F13" i="52" s="1"/>
  <c r="F43" i="52" s="1"/>
  <c r="G13" i="52" s="1"/>
  <c r="G43" i="52" s="1"/>
  <c r="H13" i="52" s="1"/>
  <c r="H43" i="52" s="1"/>
  <c r="I13" i="52" s="1"/>
  <c r="I43" i="52" s="1"/>
  <c r="J13" i="52" s="1"/>
  <c r="J43" i="52" s="1"/>
  <c r="K13" i="52" s="1"/>
  <c r="K43" i="52" s="1"/>
  <c r="L13" i="52" s="1"/>
  <c r="L43" i="52" s="1"/>
  <c r="M13" i="52" s="1"/>
  <c r="M43" i="52" s="1"/>
  <c r="N13" i="52" s="1"/>
  <c r="N43" i="52" s="1"/>
  <c r="T21" i="52"/>
  <c r="T22" i="52" s="1"/>
  <c r="O21" i="52"/>
  <c r="X20" i="52"/>
  <c r="X19" i="52"/>
  <c r="Q19" i="52"/>
  <c r="O19" i="52"/>
  <c r="W18" i="52"/>
  <c r="AE18" i="52" s="1"/>
  <c r="V18" i="52"/>
  <c r="Q18" i="52"/>
  <c r="AE17" i="52"/>
  <c r="Y17" i="52"/>
  <c r="W17" i="52"/>
  <c r="X17" i="52" s="1"/>
  <c r="P17" i="52"/>
  <c r="O17" i="52"/>
  <c r="O22" i="52" s="1"/>
  <c r="X16" i="52"/>
  <c r="P16" i="52"/>
  <c r="P22" i="52" s="1"/>
  <c r="P36" i="52" s="1"/>
  <c r="W24" i="52" l="1"/>
  <c r="AE25" i="52"/>
  <c r="T36" i="52"/>
  <c r="W36" i="52"/>
  <c r="AE21" i="52"/>
  <c r="AE22" i="52"/>
  <c r="AE20" i="52"/>
  <c r="AE19" i="52"/>
  <c r="AE16" i="52"/>
  <c r="AE33" i="52"/>
  <c r="AE29" i="52"/>
  <c r="AE28" i="52"/>
  <c r="AE27" i="52"/>
  <c r="AE26" i="52"/>
  <c r="AE32" i="52"/>
  <c r="AE30" i="52"/>
  <c r="S36" i="52"/>
  <c r="Q36" i="52"/>
  <c r="AA39" i="52"/>
  <c r="AA32" i="52" s="1"/>
  <c r="Z32" i="52"/>
  <c r="Y19" i="52"/>
  <c r="AD31" i="52"/>
  <c r="V24" i="52"/>
  <c r="AD30" i="52"/>
  <c r="AD33" i="52"/>
  <c r="AD29" i="52"/>
  <c r="AD28" i="52"/>
  <c r="AD27" i="52"/>
  <c r="AD26" i="52"/>
  <c r="AD25" i="52"/>
  <c r="Y16" i="52"/>
  <c r="X22" i="52"/>
  <c r="V22" i="52"/>
  <c r="AD18" i="52" s="1"/>
  <c r="Y20" i="52"/>
  <c r="Z17" i="52"/>
  <c r="AA17" i="52" s="1"/>
  <c r="X18" i="52"/>
  <c r="X25" i="52"/>
  <c r="Y30" i="52"/>
  <c r="O34" i="52"/>
  <c r="O24" i="52" s="1"/>
  <c r="X25" i="50"/>
  <c r="Y25" i="50" s="1"/>
  <c r="Z25" i="50" s="1"/>
  <c r="AA25" i="50" s="1"/>
  <c r="W25" i="50"/>
  <c r="AF22" i="52" l="1"/>
  <c r="AF21" i="52"/>
  <c r="Y18" i="52"/>
  <c r="AF18" i="52"/>
  <c r="AF16" i="52"/>
  <c r="Z19" i="52"/>
  <c r="AA19" i="52" s="1"/>
  <c r="O43" i="52"/>
  <c r="P13" i="52" s="1"/>
  <c r="P43" i="52" s="1"/>
  <c r="Q13" i="52" s="1"/>
  <c r="Q43" i="52" s="1"/>
  <c r="S13" i="52" s="1"/>
  <c r="S43" i="52" s="1"/>
  <c r="T13" i="52" s="1"/>
  <c r="T43" i="52" s="1"/>
  <c r="V13" i="52" s="1"/>
  <c r="V43" i="52" s="1"/>
  <c r="W13" i="52" s="1"/>
  <c r="W43" i="52" s="1"/>
  <c r="X13" i="52" s="1"/>
  <c r="AF19" i="52"/>
  <c r="AD17" i="52"/>
  <c r="AD22" i="52"/>
  <c r="V36" i="52"/>
  <c r="AD21" i="52"/>
  <c r="AD19" i="52"/>
  <c r="AD20" i="52"/>
  <c r="AD16" i="52"/>
  <c r="Z16" i="52"/>
  <c r="O36" i="52"/>
  <c r="Y25" i="52"/>
  <c r="X34" i="52"/>
  <c r="AF25" i="52" s="1"/>
  <c r="Z20" i="52"/>
  <c r="AA20" i="52" s="1"/>
  <c r="Z30" i="52"/>
  <c r="AA30" i="52" s="1"/>
  <c r="AF20" i="52"/>
  <c r="AF17" i="52"/>
  <c r="X43" i="52" l="1"/>
  <c r="Y13" i="52" s="1"/>
  <c r="X24" i="52"/>
  <c r="Z18" i="52"/>
  <c r="AA18" i="52" s="1"/>
  <c r="AF31" i="52"/>
  <c r="AF33" i="52"/>
  <c r="AF29" i="52"/>
  <c r="AF28" i="52"/>
  <c r="AF27" i="52"/>
  <c r="AF26" i="52"/>
  <c r="AF32" i="52"/>
  <c r="AF30" i="52"/>
  <c r="Y22" i="52"/>
  <c r="Y34" i="52"/>
  <c r="Y24" i="52" s="1"/>
  <c r="Z25" i="52"/>
  <c r="X36" i="52"/>
  <c r="AA16" i="52"/>
  <c r="AA22" i="52" s="1"/>
  <c r="X29" i="50"/>
  <c r="Y29" i="50"/>
  <c r="Z29" i="50" s="1"/>
  <c r="AA29" i="50" s="1"/>
  <c r="AA29" i="51" l="1"/>
  <c r="AG25" i="52"/>
  <c r="Y43" i="52"/>
  <c r="Z13" i="52" s="1"/>
  <c r="Z34" i="52"/>
  <c r="Z24" i="52"/>
  <c r="AA25" i="52"/>
  <c r="Y36" i="52"/>
  <c r="AG21" i="52"/>
  <c r="AG22" i="52"/>
  <c r="AG17" i="52"/>
  <c r="AG16" i="52"/>
  <c r="AG20" i="52"/>
  <c r="AG19" i="52"/>
  <c r="Z22" i="52"/>
  <c r="AG33" i="52"/>
  <c r="AG27" i="52"/>
  <c r="AG29" i="52"/>
  <c r="AG28" i="52"/>
  <c r="AG32" i="52"/>
  <c r="AG31" i="52"/>
  <c r="AG26" i="52"/>
  <c r="AG30" i="52"/>
  <c r="AG18" i="52"/>
  <c r="W18" i="50"/>
  <c r="W17" i="50"/>
  <c r="O17" i="51"/>
  <c r="O19" i="51"/>
  <c r="O21" i="51"/>
  <c r="O31" i="51"/>
  <c r="O32" i="51" s="1"/>
  <c r="O34" i="51" s="1"/>
  <c r="O24" i="51" s="1"/>
  <c r="O33" i="51"/>
  <c r="P16" i="51"/>
  <c r="P17" i="51"/>
  <c r="P30" i="51"/>
  <c r="P31" i="51"/>
  <c r="Q18" i="51"/>
  <c r="Q22" i="51" s="1"/>
  <c r="Q19" i="51"/>
  <c r="Q31" i="51"/>
  <c r="Q39" i="51"/>
  <c r="Q32" i="51"/>
  <c r="S22" i="51"/>
  <c r="S31" i="51"/>
  <c r="S34" i="51"/>
  <c r="S24" i="51" s="1"/>
  <c r="T21" i="51"/>
  <c r="T22" i="51" s="1"/>
  <c r="T30" i="51"/>
  <c r="T31" i="51"/>
  <c r="T39" i="51"/>
  <c r="T32" i="51" s="1"/>
  <c r="T33" i="51"/>
  <c r="U18" i="51"/>
  <c r="U22" i="51" s="1"/>
  <c r="U31" i="51"/>
  <c r="U32" i="51"/>
  <c r="W22" i="51"/>
  <c r="W34" i="51"/>
  <c r="Y17" i="51"/>
  <c r="Z17" i="51" s="1"/>
  <c r="Y19" i="51"/>
  <c r="Y20" i="51"/>
  <c r="Y27" i="51"/>
  <c r="Y28" i="51"/>
  <c r="Z28" i="51" s="1"/>
  <c r="X32" i="51"/>
  <c r="Y31" i="51"/>
  <c r="Y16" i="51" s="1"/>
  <c r="Y30" i="51"/>
  <c r="Z30" i="51" s="1"/>
  <c r="Z31" i="51"/>
  <c r="AA31" i="51"/>
  <c r="C22" i="51"/>
  <c r="C34" i="51"/>
  <c r="D22" i="51"/>
  <c r="D36" i="51" s="1"/>
  <c r="D34" i="51"/>
  <c r="D24" i="51" s="1"/>
  <c r="E22" i="51"/>
  <c r="E34" i="51"/>
  <c r="F22" i="51"/>
  <c r="F34" i="51"/>
  <c r="G22" i="51"/>
  <c r="G34" i="51"/>
  <c r="H22" i="51"/>
  <c r="H34" i="51"/>
  <c r="H24" i="51" s="1"/>
  <c r="I22" i="51"/>
  <c r="I36" i="51" s="1"/>
  <c r="I34" i="51"/>
  <c r="J22" i="51"/>
  <c r="J34" i="51"/>
  <c r="K22" i="51"/>
  <c r="K36" i="51" s="1"/>
  <c r="K34" i="51"/>
  <c r="L22" i="51"/>
  <c r="L36" i="51" s="1"/>
  <c r="L34" i="51"/>
  <c r="L24" i="51" s="1"/>
  <c r="M22" i="51"/>
  <c r="M36" i="51" s="1"/>
  <c r="M34" i="51"/>
  <c r="N22" i="51"/>
  <c r="N34" i="51"/>
  <c r="G36" i="51"/>
  <c r="R24" i="51"/>
  <c r="M24" i="51"/>
  <c r="K24" i="51"/>
  <c r="I24" i="51"/>
  <c r="G24" i="51"/>
  <c r="E24" i="51"/>
  <c r="C24" i="51"/>
  <c r="X18" i="50"/>
  <c r="O17" i="50"/>
  <c r="O19" i="50"/>
  <c r="O21" i="50"/>
  <c r="O22" i="50"/>
  <c r="O31" i="50"/>
  <c r="O33" i="50"/>
  <c r="O32" i="50"/>
  <c r="O34" i="50"/>
  <c r="O43" i="50"/>
  <c r="P13" i="50"/>
  <c r="P16" i="50"/>
  <c r="P17" i="50"/>
  <c r="P22" i="50"/>
  <c r="P30" i="50"/>
  <c r="P31" i="50"/>
  <c r="P34" i="50"/>
  <c r="P43" i="50"/>
  <c r="Q13" i="50"/>
  <c r="Q18" i="50"/>
  <c r="Q19" i="50"/>
  <c r="Q22" i="50"/>
  <c r="Q31" i="50"/>
  <c r="Q39" i="50"/>
  <c r="Q30" i="50"/>
  <c r="Q32" i="50"/>
  <c r="Q34" i="50"/>
  <c r="Q43" i="50"/>
  <c r="S13" i="50"/>
  <c r="S22" i="50"/>
  <c r="S31" i="50"/>
  <c r="S34" i="50"/>
  <c r="S43" i="50"/>
  <c r="T13" i="50"/>
  <c r="T21" i="50"/>
  <c r="T22" i="50"/>
  <c r="T30" i="50"/>
  <c r="T31" i="50"/>
  <c r="T39" i="50"/>
  <c r="T32" i="50"/>
  <c r="T33" i="50"/>
  <c r="T34" i="50"/>
  <c r="T43" i="50"/>
  <c r="V13" i="50"/>
  <c r="V18" i="50"/>
  <c r="V22" i="50"/>
  <c r="V31" i="50"/>
  <c r="V32" i="50"/>
  <c r="V34" i="50"/>
  <c r="V43" i="50"/>
  <c r="W13" i="50"/>
  <c r="W22" i="50"/>
  <c r="W34" i="50"/>
  <c r="W43" i="50" s="1"/>
  <c r="X13" i="50" s="1"/>
  <c r="X31" i="50"/>
  <c r="X16" i="50"/>
  <c r="X17" i="50"/>
  <c r="X19" i="50"/>
  <c r="X20" i="50"/>
  <c r="X22" i="50"/>
  <c r="X26" i="50"/>
  <c r="Y26" i="50" s="1"/>
  <c r="X27" i="50"/>
  <c r="Y27" i="50" s="1"/>
  <c r="Z27" i="50" s="1"/>
  <c r="AA27" i="50" s="1"/>
  <c r="X28" i="50"/>
  <c r="X30" i="50"/>
  <c r="X39" i="50"/>
  <c r="X32" i="50"/>
  <c r="Y31" i="50"/>
  <c r="Y16" i="50"/>
  <c r="Y17" i="50"/>
  <c r="Y18" i="50"/>
  <c r="Y19" i="50"/>
  <c r="Y20" i="50"/>
  <c r="Y22" i="50"/>
  <c r="Y28" i="50"/>
  <c r="Y30" i="50"/>
  <c r="Z30" i="50" s="1"/>
  <c r="AA30" i="50" s="1"/>
  <c r="Y39" i="50"/>
  <c r="Y32" i="50"/>
  <c r="Z31" i="50"/>
  <c r="Z16" i="50"/>
  <c r="Z22" i="50" s="1"/>
  <c r="Z17" i="50"/>
  <c r="Z18" i="50"/>
  <c r="Z19" i="50"/>
  <c r="Z20" i="50"/>
  <c r="Z28" i="50"/>
  <c r="AA28" i="50" s="1"/>
  <c r="Z39" i="50"/>
  <c r="Z32" i="50"/>
  <c r="AA31" i="50"/>
  <c r="AA39" i="50"/>
  <c r="AA32" i="50"/>
  <c r="AA17" i="50"/>
  <c r="AA18" i="50"/>
  <c r="AA19" i="50"/>
  <c r="AA20" i="50"/>
  <c r="C22" i="50"/>
  <c r="C34" i="50"/>
  <c r="C43" i="50"/>
  <c r="D13" i="50"/>
  <c r="D22" i="50"/>
  <c r="D34" i="50"/>
  <c r="D43" i="50"/>
  <c r="E13" i="50"/>
  <c r="E22" i="50"/>
  <c r="E34" i="50"/>
  <c r="E43" i="50"/>
  <c r="F13" i="50"/>
  <c r="F22" i="50"/>
  <c r="F34" i="50"/>
  <c r="F43" i="50"/>
  <c r="G13" i="50"/>
  <c r="G22" i="50"/>
  <c r="G34" i="50"/>
  <c r="G43" i="50"/>
  <c r="H13" i="50"/>
  <c r="H22" i="50"/>
  <c r="H34" i="50"/>
  <c r="H43" i="50"/>
  <c r="I13" i="50"/>
  <c r="I22" i="50"/>
  <c r="I34" i="50"/>
  <c r="I43" i="50"/>
  <c r="J13" i="50"/>
  <c r="J22" i="50"/>
  <c r="J34" i="50"/>
  <c r="J43" i="50"/>
  <c r="K13" i="50"/>
  <c r="K22" i="50"/>
  <c r="K34" i="50"/>
  <c r="K43" i="50"/>
  <c r="L13" i="50"/>
  <c r="L22" i="50"/>
  <c r="L34" i="50"/>
  <c r="L43" i="50"/>
  <c r="M13" i="50"/>
  <c r="M22" i="50"/>
  <c r="M34" i="50"/>
  <c r="M43" i="50"/>
  <c r="N13" i="50"/>
  <c r="N22" i="50"/>
  <c r="N34" i="50"/>
  <c r="N43" i="50"/>
  <c r="V36" i="50"/>
  <c r="T36" i="50"/>
  <c r="S36" i="50"/>
  <c r="Q36" i="50"/>
  <c r="P36" i="50"/>
  <c r="O36" i="50"/>
  <c r="N36" i="50"/>
  <c r="M36" i="50"/>
  <c r="L36" i="50"/>
  <c r="K36" i="50"/>
  <c r="J36" i="50"/>
  <c r="I36" i="50"/>
  <c r="H36" i="50"/>
  <c r="G36" i="50"/>
  <c r="F36" i="50"/>
  <c r="E36" i="50"/>
  <c r="D36" i="50"/>
  <c r="C36" i="50"/>
  <c r="AE33" i="50"/>
  <c r="AD33" i="50"/>
  <c r="AE32" i="50"/>
  <c r="AD32" i="50"/>
  <c r="AE31" i="50"/>
  <c r="AD31" i="50"/>
  <c r="AE30" i="50"/>
  <c r="AD30" i="50"/>
  <c r="AE29" i="50"/>
  <c r="AD29" i="50"/>
  <c r="AE28" i="50"/>
  <c r="AD28" i="50"/>
  <c r="AE27" i="50"/>
  <c r="AD27" i="50"/>
  <c r="AE26" i="50"/>
  <c r="AD26" i="50"/>
  <c r="AE25" i="50"/>
  <c r="AD25" i="50"/>
  <c r="W24" i="50"/>
  <c r="V24" i="50"/>
  <c r="T24" i="50"/>
  <c r="S24" i="50"/>
  <c r="R24" i="50"/>
  <c r="Q24" i="50"/>
  <c r="P24" i="50"/>
  <c r="O24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AG22" i="50"/>
  <c r="AF22" i="50"/>
  <c r="AE22" i="50"/>
  <c r="AD22" i="50"/>
  <c r="AG21" i="50"/>
  <c r="AF21" i="50"/>
  <c r="AE21" i="50"/>
  <c r="AD21" i="50"/>
  <c r="AG20" i="50"/>
  <c r="AF20" i="50"/>
  <c r="AE20" i="50"/>
  <c r="AD20" i="50"/>
  <c r="AG19" i="50"/>
  <c r="AF19" i="50"/>
  <c r="AE19" i="50"/>
  <c r="AD19" i="50"/>
  <c r="AG18" i="50"/>
  <c r="AF18" i="50"/>
  <c r="AE18" i="50"/>
  <c r="AD18" i="50"/>
  <c r="AG17" i="50"/>
  <c r="AF17" i="50"/>
  <c r="AE17" i="50"/>
  <c r="AD17" i="50"/>
  <c r="AG16" i="50"/>
  <c r="AF16" i="50"/>
  <c r="AE16" i="50"/>
  <c r="AD16" i="50"/>
  <c r="Y32" i="51" l="1"/>
  <c r="AA32" i="51"/>
  <c r="Q30" i="51"/>
  <c r="Q34" i="51" s="1"/>
  <c r="Q24" i="51" s="1"/>
  <c r="O22" i="51"/>
  <c r="O43" i="51" s="1"/>
  <c r="P13" i="51" s="1"/>
  <c r="E36" i="51"/>
  <c r="C43" i="51"/>
  <c r="D13" i="51" s="1"/>
  <c r="D43" i="51" s="1"/>
  <c r="E13" i="51" s="1"/>
  <c r="E43" i="51" s="1"/>
  <c r="F13" i="51" s="1"/>
  <c r="F43" i="51" s="1"/>
  <c r="G13" i="51" s="1"/>
  <c r="G43" i="51" s="1"/>
  <c r="H13" i="51" s="1"/>
  <c r="H43" i="51" s="1"/>
  <c r="I13" i="51" s="1"/>
  <c r="I43" i="51" s="1"/>
  <c r="J13" i="51" s="1"/>
  <c r="J43" i="51" s="1"/>
  <c r="K13" i="51" s="1"/>
  <c r="K43" i="51" s="1"/>
  <c r="L13" i="51" s="1"/>
  <c r="L43" i="51" s="1"/>
  <c r="M13" i="51" s="1"/>
  <c r="M43" i="51" s="1"/>
  <c r="N13" i="51" s="1"/>
  <c r="N43" i="51" s="1"/>
  <c r="Z16" i="51"/>
  <c r="N36" i="51"/>
  <c r="J36" i="51"/>
  <c r="F36" i="51"/>
  <c r="AA16" i="51"/>
  <c r="H36" i="51"/>
  <c r="P34" i="51"/>
  <c r="P24" i="51" s="1"/>
  <c r="C36" i="51"/>
  <c r="AA30" i="51"/>
  <c r="AA28" i="51"/>
  <c r="U34" i="51"/>
  <c r="T34" i="51"/>
  <c r="T24" i="51" s="1"/>
  <c r="P22" i="51"/>
  <c r="P36" i="51" s="1"/>
  <c r="X34" i="51"/>
  <c r="X24" i="51" s="1"/>
  <c r="Y26" i="51"/>
  <c r="Z26" i="51" s="1"/>
  <c r="X22" i="51"/>
  <c r="U36" i="51"/>
  <c r="Z20" i="51"/>
  <c r="T36" i="51"/>
  <c r="Q36" i="51"/>
  <c r="U24" i="51"/>
  <c r="Z19" i="51"/>
  <c r="S36" i="51"/>
  <c r="F24" i="51"/>
  <c r="J24" i="51"/>
  <c r="N24" i="51"/>
  <c r="Z26" i="50"/>
  <c r="AA26" i="50" s="1"/>
  <c r="Y34" i="50"/>
  <c r="X34" i="50"/>
  <c r="AA16" i="50"/>
  <c r="AA22" i="50" s="1"/>
  <c r="Z27" i="51"/>
  <c r="W24" i="51"/>
  <c r="W36" i="51"/>
  <c r="AA34" i="52"/>
  <c r="AA36" i="52" s="1"/>
  <c r="Z36" i="52"/>
  <c r="Z43" i="52"/>
  <c r="AA13" i="52" s="1"/>
  <c r="W36" i="50"/>
  <c r="X43" i="50"/>
  <c r="Y13" i="50" s="1"/>
  <c r="AG33" i="50"/>
  <c r="AG29" i="50"/>
  <c r="Y36" i="50"/>
  <c r="AG30" i="50"/>
  <c r="AG26" i="50"/>
  <c r="Y24" i="50"/>
  <c r="AG32" i="50"/>
  <c r="AG28" i="50"/>
  <c r="AG31" i="50"/>
  <c r="AG27" i="50"/>
  <c r="Y43" i="50"/>
  <c r="Z13" i="50" s="1"/>
  <c r="AG25" i="50"/>
  <c r="X24" i="50"/>
  <c r="AF26" i="50"/>
  <c r="AF29" i="50"/>
  <c r="AF25" i="50"/>
  <c r="AF27" i="50"/>
  <c r="AF33" i="50"/>
  <c r="AF31" i="50"/>
  <c r="AF28" i="50"/>
  <c r="AF30" i="50"/>
  <c r="AF32" i="50"/>
  <c r="X36" i="50"/>
  <c r="Z32" i="51" l="1"/>
  <c r="AA17" i="51" s="1"/>
  <c r="O36" i="51"/>
  <c r="AA19" i="51"/>
  <c r="AA20" i="51"/>
  <c r="AA26" i="51"/>
  <c r="P43" i="51"/>
  <c r="Q13" i="51" s="1"/>
  <c r="Q43" i="51" s="1"/>
  <c r="S13" i="51" s="1"/>
  <c r="S43" i="51" s="1"/>
  <c r="T13" i="51" s="1"/>
  <c r="T43" i="51" s="1"/>
  <c r="U13" i="51" s="1"/>
  <c r="X36" i="51"/>
  <c r="Y34" i="51"/>
  <c r="Y24" i="51" s="1"/>
  <c r="Y22" i="51"/>
  <c r="Z34" i="51"/>
  <c r="AA27" i="51"/>
  <c r="AA43" i="52"/>
  <c r="AA24" i="52"/>
  <c r="Z34" i="50"/>
  <c r="Z36" i="50" s="1"/>
  <c r="AA34" i="51" l="1"/>
  <c r="AA24" i="51" s="1"/>
  <c r="U43" i="51"/>
  <c r="W13" i="51" s="1"/>
  <c r="W43" i="51" s="1"/>
  <c r="X13" i="51" s="1"/>
  <c r="X43" i="51" s="1"/>
  <c r="Y13" i="51" s="1"/>
  <c r="Y43" i="51" s="1"/>
  <c r="Z13" i="51" s="1"/>
  <c r="Y36" i="51"/>
  <c r="Z22" i="51"/>
  <c r="Z36" i="51" s="1"/>
  <c r="AA22" i="51"/>
  <c r="AA36" i="51" s="1"/>
  <c r="Z24" i="51"/>
  <c r="Z24" i="50"/>
  <c r="Z43" i="50"/>
  <c r="AA13" i="50" s="1"/>
  <c r="AA34" i="50"/>
  <c r="AA36" i="50" s="1"/>
  <c r="Z43" i="51" l="1"/>
  <c r="AA13" i="51" s="1"/>
  <c r="AA43" i="51" s="1"/>
  <c r="AA43" i="50"/>
  <c r="AA24" i="5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O'Keeffe</author>
  </authors>
  <commentList>
    <comment ref="V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This represents the % of Salaries &amp; Benefits to Total Operating Costs (Lines 25-30).</t>
        </r>
      </text>
    </comment>
    <comment ref="X2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Y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Z2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AA2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X2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Addtl $250K is for expected parking lot resurfacing and sealcoating.</t>
        </r>
      </text>
    </comment>
    <comment ref="V3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$8.46 is an entry for a perm transfer under 10.5.0000.000.8130.00.00.00 that the auditors will adjust.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O'Keeffe</author>
  </authors>
  <commentList>
    <comment ref="V2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This represents the % of Salaries &amp; Benefits to Total Operating Costs (Lines 25-30).</t>
        </r>
      </text>
    </comment>
    <comment ref="X2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Y2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Z2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AA2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X2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Addtl $250K is for expected parking lot resurfacing and sealcoating.</t>
        </r>
      </text>
    </comment>
    <comment ref="V3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$8.46 is an entry for a perm transfer under 10.5.0000.000.8130.00.00.00 that the auditors will adjust.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O'Keeffe</author>
  </authors>
  <commentList>
    <comment ref="V2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This represents the % of Salaries &amp; Benefits to Total Operating Costs (Lines 25-30).</t>
        </r>
      </text>
    </comment>
    <comment ref="X2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Y2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Z2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AA2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X29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Addtl $250K is for expected parking lot resurfacing and sealcoating.</t>
        </r>
      </text>
    </comment>
    <comment ref="V34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$8.46 is an entry for a perm transfer under 10.5.0000.000.8130.00.00.00 that the auditors will adjust.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O'Keeffe</author>
  </authors>
  <commentList>
    <comment ref="V2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This represents the % of Salaries &amp; Benefits to Total Operating Costs (Lines 25-30).</t>
        </r>
      </text>
    </comment>
    <comment ref="X2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Y25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Z25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AA2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$547,846 are other defined salary costs (Subs / Flex Benefits / Stipends</t>
        </r>
      </text>
    </comment>
    <comment ref="X29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Addtl $250K is for expected parking lot resurfacing and sealcoating.</t>
        </r>
      </text>
    </comment>
    <comment ref="V3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$8.46 is an entry for a perm transfer under 10.5.0000.000.8130.00.00.00 that the auditors will adjust.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O'Keeffe</author>
  </authors>
  <commentList>
    <comment ref="Y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CPPRT not included in 2% increase.</t>
        </r>
      </text>
    </comment>
    <comment ref="Z1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CPPRT not included in 2% increase.</t>
        </r>
      </text>
    </comment>
    <comment ref="AA16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CPPRT not included in 2% increase.</t>
        </r>
      </text>
    </comment>
    <comment ref="Y18" authorId="0" shapeId="0" xr:uid="{00000000-0006-0000-0500-000004000000}">
      <text>
        <r>
          <rPr>
            <b/>
            <sz val="9"/>
            <color indexed="81"/>
            <rFont val="Tahoma"/>
            <charset val="1"/>
          </rPr>
          <t>Brian O'Keeffe:</t>
        </r>
        <r>
          <rPr>
            <sz val="9"/>
            <color indexed="81"/>
            <rFont val="Tahoma"/>
            <charset val="1"/>
          </rPr>
          <t xml:space="preserve">
$300k in new EBF Funding</t>
        </r>
      </text>
    </comment>
    <comment ref="Z18" authorId="0" shapeId="0" xr:uid="{00000000-0006-0000-0500-000005000000}">
      <text>
        <r>
          <rPr>
            <b/>
            <sz val="9"/>
            <color indexed="81"/>
            <rFont val="Tahoma"/>
            <charset val="1"/>
          </rPr>
          <t>Brian O'Keeffe:</t>
        </r>
        <r>
          <rPr>
            <sz val="9"/>
            <color indexed="81"/>
            <rFont val="Tahoma"/>
            <charset val="1"/>
          </rPr>
          <t xml:space="preserve">
$300k in new EBF Funding</t>
        </r>
      </text>
    </comment>
    <comment ref="AA18" authorId="0" shapeId="0" xr:uid="{00000000-0006-0000-0500-000006000000}">
      <text>
        <r>
          <rPr>
            <b/>
            <sz val="9"/>
            <color indexed="81"/>
            <rFont val="Tahoma"/>
            <charset val="1"/>
          </rPr>
          <t>Brian O'Keeffe:</t>
        </r>
        <r>
          <rPr>
            <sz val="9"/>
            <color indexed="81"/>
            <rFont val="Tahoma"/>
            <charset val="1"/>
          </rPr>
          <t xml:space="preserve">
$300k in new EBF Funding</t>
        </r>
      </text>
    </comment>
    <comment ref="U24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This represents the % of Salaries &amp; Benefits to Total Operating Costs (Lines 25-30).</t>
        </r>
      </text>
    </comment>
    <comment ref="Y25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$472,563 are other defined salary costs (Subs / Flex Benefits / Stipends</t>
        </r>
      </text>
    </comment>
    <comment ref="Z25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$472,563 are other defined salary costs (Subs / Flex Benefits / Stipends</t>
        </r>
      </text>
    </comment>
    <comment ref="AA25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% Increase is only applied to annual salaries. The $472,563 are other defined salary costs (Subs / Flex Benefits / Stipends</t>
        </r>
      </text>
    </comment>
    <comment ref="Y29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$130K is a one-time buy for camera's and a new entry system. The $1.5M is an estimate for a new roof at APMS.</t>
        </r>
      </text>
    </comment>
    <comment ref="W32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This was the $1.3M move from the Ed Fund to the O&amp;M Fund and then the same $$ were moved from the O&amp;M Fund to the Cap. Project Fund.</t>
        </r>
      </text>
    </comment>
    <comment ref="U34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$8.46 is an entry for a perm transfer under 10.5.0000.000.8130.00.00.00 that the auditors will adjust.</t>
        </r>
      </text>
    </comment>
    <comment ref="W42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This was the $1.3M move from the Ed Fund to the O&amp;M Fund and then the same $$ were moved from the O&amp;M Fund to the Cap. Project Fund.</t>
        </r>
      </text>
    </comment>
    <comment ref="U43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An auditor's adjustment of $7862 was processed as of July 1, 2018, adding the same amount to the fund balance.</t>
        </r>
      </text>
    </comment>
  </commentList>
</comments>
</file>

<file path=xl/sharedStrings.xml><?xml version="1.0" encoding="utf-8"?>
<sst xmlns="http://schemas.openxmlformats.org/spreadsheetml/2006/main" count="422" uniqueCount="75">
  <si>
    <t>TOTAL SALARIES BY GROUP</t>
  </si>
  <si>
    <t>2018/19 - Budget</t>
  </si>
  <si>
    <t>2018/19 - w/Increase</t>
  </si>
  <si>
    <t>2019/20</t>
  </si>
  <si>
    <t>2020/21</t>
  </si>
  <si>
    <t>2021/22</t>
  </si>
  <si>
    <t>2022/23</t>
  </si>
  <si>
    <t>2018/19</t>
  </si>
  <si>
    <t>Total 5 Years</t>
  </si>
  <si>
    <t>APEA - CERTIFIED STAFF</t>
  </si>
  <si>
    <t>IMRF (Clerical / Custodial / Technology / Bus Drivers)</t>
  </si>
  <si>
    <t>ADMINISTRATION</t>
  </si>
  <si>
    <t>NON-COMPOUNDED (Subs / Stipends / Summer / OT, Etc.)</t>
  </si>
  <si>
    <t>TOTAL DISTRICT SALARIES</t>
  </si>
  <si>
    <t>TOTAL MEDICAL/DENTAL BENEFITS BY GROUP</t>
  </si>
  <si>
    <t>TOTAL DISTRICT MEDICAL/DENTAL BENEFITS</t>
  </si>
  <si>
    <t>TOTAL DISTRICT SALARIES AND MEDICAL/DENTAL BENEFITS</t>
  </si>
  <si>
    <r>
      <t xml:space="preserve">FINANCIAL SUMMARY </t>
    </r>
    <r>
      <rPr>
        <b/>
        <sz val="12.5"/>
        <color rgb="FF000000"/>
        <rFont val="Calibri"/>
        <family val="2"/>
      </rPr>
      <t>-</t>
    </r>
    <r>
      <rPr>
        <b/>
        <sz val="12.5"/>
        <color rgb="FF0000D4"/>
        <rFont val="Calibri"/>
        <family val="2"/>
      </rPr>
      <t xml:space="preserve"> </t>
    </r>
    <r>
      <rPr>
        <b/>
        <sz val="12.5"/>
        <color rgb="FF000000"/>
        <rFont val="Calibri"/>
        <family val="2"/>
      </rPr>
      <t>ALL FUNDS</t>
    </r>
  </si>
  <si>
    <t>UNAUDITED</t>
  </si>
  <si>
    <t>PRELIM FINAL BUDGET</t>
  </si>
  <si>
    <t>PROJECTION</t>
  </si>
  <si>
    <t>FYE</t>
  </si>
  <si>
    <t>BEGINNING FUND BALANCE</t>
  </si>
  <si>
    <t>REVENUES:</t>
  </si>
  <si>
    <t>FY18</t>
  </si>
  <si>
    <t>FY19</t>
  </si>
  <si>
    <t>FY20</t>
  </si>
  <si>
    <t>FY21</t>
  </si>
  <si>
    <t>Real Estate Taxes</t>
  </si>
  <si>
    <t>Other Local Revenues</t>
  </si>
  <si>
    <t>Evidence Based Funding (Formerly GSA)</t>
  </si>
  <si>
    <t>Restricted State Grants (ELL/Pre-K for All)</t>
  </si>
  <si>
    <t>Restricted Federal Grants (IDEA/ESSA)</t>
  </si>
  <si>
    <t>Principal &amp; Premiums on Bonds</t>
  </si>
  <si>
    <t>Total Revenues</t>
  </si>
  <si>
    <t>EXPENDITURES:</t>
  </si>
  <si>
    <t>Salaries</t>
  </si>
  <si>
    <t>Employee Benefits</t>
  </si>
  <si>
    <t>Purchased Services</t>
  </si>
  <si>
    <t>Supplies &amp; Materials</t>
  </si>
  <si>
    <t>Capital Outlay</t>
  </si>
  <si>
    <t>Out of District Tuition</t>
  </si>
  <si>
    <t>Debt Payments</t>
  </si>
  <si>
    <t>Other</t>
  </si>
  <si>
    <t>Payment to Refund Bond Escrow</t>
  </si>
  <si>
    <t>Total Expenses</t>
  </si>
  <si>
    <t>REVENUES VS. EXPENSES</t>
  </si>
  <si>
    <t>Bond Issuance/Proceeds (WCF)</t>
  </si>
  <si>
    <t>Abatement of WCF (Revenue to Funds)</t>
  </si>
  <si>
    <t>One-Time Escrow Restructuring Profit (FY2015)</t>
  </si>
  <si>
    <t>Sale of Fixed Assets</t>
  </si>
  <si>
    <t>ENDING FUND BALANCE</t>
  </si>
  <si>
    <t>***</t>
  </si>
  <si>
    <t>Major Revenue Assumptions Used</t>
  </si>
  <si>
    <t>Major Expenditure Assumptions Used</t>
  </si>
  <si>
    <t>CPI - 2018 Tax Levy (FY19) - 2.10% Increase / 2.50% in FY20-23</t>
  </si>
  <si>
    <t>Salaries grow 4.00% - FY19 through FY23</t>
  </si>
  <si>
    <t>Other Local Revenue will grow by 2.00% annually through FY 2023</t>
  </si>
  <si>
    <t>Benefit Costs will grow 5.00% annually through FY23</t>
  </si>
  <si>
    <t>EBF Budgets based on hold harmless amount of $5,705,474 from FY20-23</t>
  </si>
  <si>
    <t>13 to 16</t>
  </si>
  <si>
    <t>All remaining expenses will grow 2.00% annually through FY 2023</t>
  </si>
  <si>
    <t>6 to 7</t>
  </si>
  <si>
    <t>State and Federal Grants will be flat through FY 2023</t>
  </si>
  <si>
    <t>Based on Existing Debt Payment Schedule</t>
  </si>
  <si>
    <t>Salaries grow 3.50% - FY19 through FY23</t>
  </si>
  <si>
    <t>Salaries grow 3.50% in FY19 and 3.00% after through FY23</t>
  </si>
  <si>
    <t>BUDGET</t>
  </si>
  <si>
    <t>CPI - 2019 Tax Levy (FY20) - 1.90% Increase / 2.00% in FY21-23</t>
  </si>
  <si>
    <t>FY20 - 3.75% increase for Non-APEA / 3.50% for APEA - FY21-23 - Increase of 3.00% for all employees</t>
  </si>
  <si>
    <t>Other Local Revenue will grow by 2.00% annually through FY23</t>
  </si>
  <si>
    <t>EBF Budgets estimating $300K in new money per year, FY21-23</t>
  </si>
  <si>
    <t>All remaining expenses will grow 2.00% annually through FY23</t>
  </si>
  <si>
    <t>State and Federal Grants will be flat through FY23</t>
  </si>
  <si>
    <t>Based on Current Debt Payment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</si>
</sst>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$&quot;#,##0.00"/>
  </numFmts>
  <fonts count="28">
    <font>
      <sz val="10"/>
      <name val="Arial"/>
    </font>
    <font>
      <b/>
      <sz val="9"/>
      <name val="Calibri"/>
      <family val="2"/>
    </font>
    <font>
      <sz val="9"/>
      <name val="Calibri"/>
      <family val="2"/>
    </font>
    <font>
      <b/>
      <sz val="12"/>
      <color rgb="FF90713A"/>
      <name val="Calibri"/>
      <family val="2"/>
    </font>
    <font>
      <b/>
      <sz val="12"/>
      <color rgb="FF000000"/>
      <name val="Calibri"/>
      <family val="2"/>
    </font>
    <font>
      <b/>
      <sz val="12.5"/>
      <color rgb="FF90713A"/>
      <name val="Calibri"/>
      <family val="2"/>
    </font>
    <font>
      <b/>
      <sz val="12.5"/>
      <color rgb="FF000000"/>
      <name val="Calibri"/>
      <family val="2"/>
    </font>
    <font>
      <b/>
      <sz val="12.5"/>
      <color rgb="FF0000D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rgb="FFFFFF00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b/>
      <sz val="10"/>
      <color rgb="FF002060"/>
      <name val="Calibri"/>
      <family val="2"/>
    </font>
    <font>
      <b/>
      <u/>
      <sz val="10"/>
      <color rgb="FF002060"/>
      <name val="Calibri"/>
      <family val="2"/>
    </font>
    <font>
      <b/>
      <sz val="10"/>
      <color rgb="FFC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rgb="FF002060"/>
      <name val="Calibri"/>
      <family val="2"/>
    </font>
    <font>
      <b/>
      <sz val="10"/>
      <color rgb="FFFF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u/>
      <sz val="12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readingOrder="1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17" fontId="13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right" vertical="center"/>
    </xf>
    <xf numFmtId="17" fontId="9" fillId="0" borderId="0" xfId="0" applyNumberFormat="1" applyFont="1" applyAlignment="1">
      <alignment vertical="center"/>
    </xf>
    <xf numFmtId="17" fontId="14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left" vertical="center"/>
    </xf>
    <xf numFmtId="38" fontId="9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8" fontId="13" fillId="0" borderId="0" xfId="0" applyNumberFormat="1" applyFont="1" applyAlignment="1">
      <alignment horizontal="center" vertical="center"/>
    </xf>
    <xf numFmtId="38" fontId="14" fillId="0" borderId="0" xfId="0" applyNumberFormat="1" applyFont="1" applyAlignment="1">
      <alignment horizontal="center"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>
      <alignment horizontal="center" vertical="center"/>
    </xf>
    <xf numFmtId="38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38" fontId="9" fillId="0" borderId="0" xfId="0" applyNumberFormat="1" applyFont="1" applyAlignment="1">
      <alignment vertical="center"/>
    </xf>
    <xf numFmtId="38" fontId="9" fillId="0" borderId="1" xfId="0" applyNumberFormat="1" applyFont="1" applyBorder="1" applyAlignment="1">
      <alignment horizontal="center" vertical="center"/>
    </xf>
    <xf numFmtId="38" fontId="9" fillId="0" borderId="2" xfId="0" applyNumberFormat="1" applyFont="1" applyBorder="1" applyAlignment="1">
      <alignment vertical="center"/>
    </xf>
    <xf numFmtId="38" fontId="9" fillId="0" borderId="2" xfId="0" applyNumberFormat="1" applyFont="1" applyBorder="1" applyAlignment="1">
      <alignment horizontal="center" vertical="center"/>
    </xf>
    <xf numFmtId="38" fontId="9" fillId="0" borderId="2" xfId="0" applyNumberFormat="1" applyFont="1" applyBorder="1" applyAlignment="1">
      <alignment horizontal="left" vertical="center"/>
    </xf>
    <xf numFmtId="38" fontId="9" fillId="0" borderId="0" xfId="0" applyNumberFormat="1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3" fontId="9" fillId="3" borderId="0" xfId="0" applyNumberFormat="1" applyFont="1" applyFill="1" applyAlignment="1">
      <alignment horizontal="center" vertical="center"/>
    </xf>
    <xf numFmtId="17" fontId="13" fillId="3" borderId="0" xfId="0" applyNumberFormat="1" applyFont="1" applyFill="1" applyAlignment="1">
      <alignment horizontal="center" vertical="center"/>
    </xf>
    <xf numFmtId="17" fontId="14" fillId="3" borderId="0" xfId="0" applyNumberFormat="1" applyFont="1" applyFill="1" applyAlignment="1">
      <alignment horizontal="center" vertical="center"/>
    </xf>
    <xf numFmtId="38" fontId="9" fillId="3" borderId="0" xfId="0" applyNumberFormat="1" applyFont="1" applyFill="1" applyAlignment="1">
      <alignment horizontal="center" vertical="center"/>
    </xf>
    <xf numFmtId="38" fontId="14" fillId="3" borderId="0" xfId="0" applyNumberFormat="1" applyFont="1" applyFill="1" applyAlignment="1">
      <alignment horizontal="center" vertical="center"/>
    </xf>
    <xf numFmtId="38" fontId="8" fillId="3" borderId="0" xfId="0" applyNumberFormat="1" applyFont="1" applyFill="1" applyAlignment="1">
      <alignment horizontal="center" vertical="center"/>
    </xf>
    <xf numFmtId="38" fontId="9" fillId="3" borderId="1" xfId="0" applyNumberFormat="1" applyFont="1" applyFill="1" applyBorder="1" applyAlignment="1">
      <alignment horizontal="center" vertical="center"/>
    </xf>
    <xf numFmtId="38" fontId="9" fillId="3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0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24" fillId="0" borderId="0" xfId="0" applyNumberFormat="1" applyFont="1" applyAlignment="1">
      <alignment horizontal="left" vertical="center"/>
    </xf>
    <xf numFmtId="38" fontId="24" fillId="0" borderId="0" xfId="0" applyNumberFormat="1" applyFont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" fontId="24" fillId="0" borderId="0" xfId="0" applyNumberFormat="1" applyFont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4A-460C-B953-F66BF85F9ABF}"/>
            </c:ext>
          </c:extLst>
        </c:ser>
        <c:ser>
          <c:idx val="1"/>
          <c:order val="1"/>
          <c:spPr>
            <a:solidFill>
              <a:srgbClr val="DD0806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4A-460C-B953-F66BF85F9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80320"/>
        <c:axId val="154682112"/>
      </c:barChart>
      <c:catAx>
        <c:axId val="1546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682112"/>
        <c:scaling>
          <c:orientation val="minMax"/>
          <c:max val="23000000"/>
          <c:min val="1500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0320"/>
        <c:crosses val="autoZero"/>
        <c:crossBetween val="between"/>
        <c:majorUnit val="1000000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 163&amp;18_x000d_&amp;14Revenues vs. Expenses (1999-2005)</c:oddHeader>
    </c:headerFooter>
    <c:pageMargins b="1" l="0.75000000000000089" r="0.75000000000000089" t="1.5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26-4ABB-8CD1-DA50AB70B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10400"/>
        <c:axId val="154711936"/>
      </c:barChart>
      <c:catAx>
        <c:axId val="1547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11936"/>
        <c:scaling>
          <c:orientation val="minMax"/>
          <c:max val="10000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0400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#163_x000d_&amp;16Fund Balance History (1999 - 2005)</c:oddHeader>
    </c:headerFooter>
    <c:pageMargins b="1" l="0.75000000000000089" r="0.75000000000000089" t="1.5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57-47B9-AE13-1F349574B108}"/>
            </c:ext>
          </c:extLst>
        </c:ser>
        <c:ser>
          <c:idx val="1"/>
          <c:order val="1"/>
          <c:spPr>
            <a:solidFill>
              <a:srgbClr val="DD0806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57-47B9-AE13-1F349574B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80320"/>
        <c:axId val="154682112"/>
      </c:barChart>
      <c:catAx>
        <c:axId val="1546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682112"/>
        <c:scaling>
          <c:orientation val="minMax"/>
          <c:max val="23000000"/>
          <c:min val="1500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0320"/>
        <c:crosses val="autoZero"/>
        <c:crossBetween val="between"/>
        <c:majorUnit val="1000000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 163&amp;18_x000d_&amp;14Revenues vs. Expenses (1999-2005)</c:oddHeader>
    </c:headerFooter>
    <c:pageMargins b="1" l="0.75000000000000089" r="0.75000000000000089" t="1.5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12-496F-931D-BF683FC46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10400"/>
        <c:axId val="154711936"/>
      </c:barChart>
      <c:catAx>
        <c:axId val="1547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11936"/>
        <c:scaling>
          <c:orientation val="minMax"/>
          <c:max val="10000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0400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#163_x000d_&amp;16Fund Balance History (1999 - 2005)</c:oddHeader>
    </c:headerFooter>
    <c:pageMargins b="1" l="0.75000000000000089" r="0.75000000000000089" t="1.5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2E-4CD4-826C-04B7C197B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10400"/>
        <c:axId val="154711936"/>
      </c:barChart>
      <c:catAx>
        <c:axId val="1547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11936"/>
        <c:scaling>
          <c:orientation val="minMax"/>
          <c:max val="10000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0400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#163_x000d_&amp;16Fund Balance History (1999 - 2005)</c:oddHeader>
    </c:headerFooter>
    <c:pageMargins b="1" l="0.75000000000000089" r="0.75000000000000089" t="1.5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DA-4368-9C0A-EA9CCDFE32F9}"/>
            </c:ext>
          </c:extLst>
        </c:ser>
        <c:ser>
          <c:idx val="1"/>
          <c:order val="1"/>
          <c:spPr>
            <a:solidFill>
              <a:srgbClr val="DD0806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DA-4368-9C0A-EA9CCDFE3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80320"/>
        <c:axId val="154682112"/>
      </c:barChart>
      <c:catAx>
        <c:axId val="1546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682112"/>
        <c:scaling>
          <c:orientation val="minMax"/>
          <c:max val="23000000"/>
          <c:min val="1500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0320"/>
        <c:crosses val="autoZero"/>
        <c:crossBetween val="between"/>
        <c:majorUnit val="1000000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 163&amp;18_x000d_&amp;14Revenues vs. Expenses (1999-2005)</c:oddHeader>
    </c:headerFooter>
    <c:pageMargins b="1" l="0.75000000000000089" r="0.75000000000000089" t="1.5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1D-44AA-81BD-587EEA00D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10400"/>
        <c:axId val="154711936"/>
      </c:barChart>
      <c:catAx>
        <c:axId val="1547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11936"/>
        <c:scaling>
          <c:orientation val="minMax"/>
          <c:max val="10000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0400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#163_x000d_&amp;16Fund Balance History (1999 - 2005)</c:oddHeader>
    </c:headerFooter>
    <c:pageMargins b="1" l="0.75000000000000089" r="0.75000000000000089" t="1.5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B5-441E-81D9-96AFFC76322B}"/>
            </c:ext>
          </c:extLst>
        </c:ser>
        <c:ser>
          <c:idx val="1"/>
          <c:order val="1"/>
          <c:spPr>
            <a:solidFill>
              <a:srgbClr val="DD0806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B5-441E-81D9-96AFFC763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80320"/>
        <c:axId val="154682112"/>
      </c:barChart>
      <c:catAx>
        <c:axId val="1546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682112"/>
        <c:scaling>
          <c:orientation val="minMax"/>
          <c:max val="23000000"/>
          <c:min val="1500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0320"/>
        <c:crosses val="autoZero"/>
        <c:crossBetween val="between"/>
        <c:majorUnit val="1000000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 163&amp;18_x000d_&amp;14Revenues vs. Expenses (1999-2005)</c:oddHeader>
    </c:headerFooter>
    <c:pageMargins b="1" l="0.75000000000000089" r="0.75000000000000089" t="1.5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7B-4685-88E4-D1235B245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10400"/>
        <c:axId val="154711936"/>
      </c:barChart>
      <c:catAx>
        <c:axId val="1547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11936"/>
        <c:scaling>
          <c:orientation val="minMax"/>
          <c:max val="10000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0400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#163_x000d_&amp;16Fund Balance History (1999 - 2005)</c:oddHeader>
    </c:headerFooter>
    <c:pageMargins b="1" l="0.75000000000000089" r="0.75000000000000089" t="1.5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CA-43F3-AAA3-59CCEC74A2AC}"/>
            </c:ext>
          </c:extLst>
        </c:ser>
        <c:ser>
          <c:idx val="1"/>
          <c:order val="1"/>
          <c:spPr>
            <a:solidFill>
              <a:srgbClr val="DD0806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CA-43F3-AAA3-59CCEC74A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80320"/>
        <c:axId val="154682112"/>
      </c:barChart>
      <c:catAx>
        <c:axId val="1546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682112"/>
        <c:scaling>
          <c:orientation val="minMax"/>
          <c:max val="23000000"/>
          <c:min val="1500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0320"/>
        <c:crosses val="autoZero"/>
        <c:crossBetween val="between"/>
        <c:majorUnit val="1000000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 163&amp;18_x000d_&amp;14Revenues vs. Expenses (1999-2005)</c:oddHeader>
    </c:headerFooter>
    <c:pageMargins b="1" l="0.75000000000000089" r="0.75000000000000089" t="1.5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1F-40C6-B5A5-A844D9FF8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10400"/>
        <c:axId val="154711936"/>
      </c:barChart>
      <c:catAx>
        <c:axId val="1547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11936"/>
        <c:scaling>
          <c:orientation val="minMax"/>
          <c:max val="10000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710400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#163_x000d_&amp;16Fund Balance History (1999 - 2005)</c:oddHeader>
    </c:headerFooter>
    <c:pageMargins b="1" l="0.75000000000000089" r="0.75000000000000089" t="1.5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E6-4DCC-992C-B727F9764528}"/>
            </c:ext>
          </c:extLst>
        </c:ser>
        <c:ser>
          <c:idx val="1"/>
          <c:order val="1"/>
          <c:spPr>
            <a:solidFill>
              <a:srgbClr val="DD0806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E6-4DCC-992C-B727F976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80320"/>
        <c:axId val="154682112"/>
      </c:barChart>
      <c:catAx>
        <c:axId val="1546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682112"/>
        <c:scaling>
          <c:orientation val="minMax"/>
          <c:max val="23000000"/>
          <c:min val="1500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54680320"/>
        <c:crosses val="autoZero"/>
        <c:crossBetween val="between"/>
        <c:majorUnit val="1000000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>
      <c:oddHeader>&amp;C&amp;"Century Gothic,Bold"&amp;22PARK FOREST SCHOOL DISTRICT # 163&amp;18_x000d_&amp;14Revenues vs. Expenses (1999-2005)</c:oddHeader>
    </c:headerFooter>
    <c:pageMargins b="1" l="0.75000000000000089" r="0.75000000000000089" t="1.5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412750</xdr:colOff>
      <xdr:row>4</xdr:row>
      <xdr:rowOff>39688</xdr:rowOff>
    </xdr:from>
    <xdr:to>
      <xdr:col>6</xdr:col>
      <xdr:colOff>523875</xdr:colOff>
      <xdr:row>4</xdr:row>
      <xdr:rowOff>95250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5832475" y="649288"/>
          <a:ext cx="111125" cy="55562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896935</xdr:colOff>
      <xdr:row>0</xdr:row>
      <xdr:rowOff>134938</xdr:rowOff>
    </xdr:from>
    <xdr:to>
      <xdr:col>6</xdr:col>
      <xdr:colOff>246062</xdr:colOff>
      <xdr:row>8</xdr:row>
      <xdr:rowOff>103188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24498" y="134938"/>
          <a:ext cx="3690939" cy="155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3</xdr:row>
      <xdr:rowOff>142875</xdr:rowOff>
    </xdr:from>
    <xdr:to>
      <xdr:col>8</xdr:col>
      <xdr:colOff>0</xdr:colOff>
      <xdr:row>4</xdr:row>
      <xdr:rowOff>95250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 flipV="1">
          <a:off x="6861175" y="600075"/>
          <a:ext cx="45719" cy="1047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8</xdr:col>
      <xdr:colOff>0</xdr:colOff>
      <xdr:row>4</xdr:row>
      <xdr:rowOff>49531</xdr:rowOff>
    </xdr:from>
    <xdr:to>
      <xdr:col>8</xdr:col>
      <xdr:colOff>0</xdr:colOff>
      <xdr:row>4</xdr:row>
      <xdr:rowOff>95250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7680325" y="659131"/>
          <a:ext cx="95250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8</xdr:col>
      <xdr:colOff>0</xdr:colOff>
      <xdr:row>4</xdr:row>
      <xdr:rowOff>49531</xdr:rowOff>
    </xdr:from>
    <xdr:to>
      <xdr:col>8</xdr:col>
      <xdr:colOff>0</xdr:colOff>
      <xdr:row>4</xdr:row>
      <xdr:rowOff>95250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9061450" y="659131"/>
          <a:ext cx="45719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8</xdr:col>
      <xdr:colOff>0</xdr:colOff>
      <xdr:row>4</xdr:row>
      <xdr:rowOff>95250</xdr:rowOff>
    </xdr:from>
    <xdr:to>
      <xdr:col>8</xdr:col>
      <xdr:colOff>0</xdr:colOff>
      <xdr:row>4</xdr:row>
      <xdr:rowOff>140969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 flipH="1">
          <a:off x="9928225" y="704850"/>
          <a:ext cx="47625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412750</xdr:colOff>
      <xdr:row>4</xdr:row>
      <xdr:rowOff>39688</xdr:rowOff>
    </xdr:from>
    <xdr:to>
      <xdr:col>19</xdr:col>
      <xdr:colOff>523875</xdr:colOff>
      <xdr:row>4</xdr:row>
      <xdr:rowOff>95250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5832475" y="649288"/>
          <a:ext cx="111125" cy="55562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5</xdr:col>
      <xdr:colOff>600075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571500</xdr:colOff>
      <xdr:row>44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214312</xdr:colOff>
      <xdr:row>0</xdr:row>
      <xdr:rowOff>39688</xdr:rowOff>
    </xdr:from>
    <xdr:to>
      <xdr:col>22</xdr:col>
      <xdr:colOff>436562</xdr:colOff>
      <xdr:row>7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19637" y="39688"/>
          <a:ext cx="3079750" cy="1157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412750</xdr:colOff>
      <xdr:row>3</xdr:row>
      <xdr:rowOff>142875</xdr:rowOff>
    </xdr:from>
    <xdr:to>
      <xdr:col>21</xdr:col>
      <xdr:colOff>458469</xdr:colOff>
      <xdr:row>4</xdr:row>
      <xdr:rowOff>95250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 flipV="1">
          <a:off x="6861175" y="600075"/>
          <a:ext cx="45719" cy="1047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22</xdr:col>
      <xdr:colOff>317500</xdr:colOff>
      <xdr:row>4</xdr:row>
      <xdr:rowOff>49531</xdr:rowOff>
    </xdr:from>
    <xdr:to>
      <xdr:col>22</xdr:col>
      <xdr:colOff>412750</xdr:colOff>
      <xdr:row>4</xdr:row>
      <xdr:rowOff>95250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7680325" y="659131"/>
          <a:ext cx="95250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23</xdr:col>
      <xdr:colOff>412750</xdr:colOff>
      <xdr:row>4</xdr:row>
      <xdr:rowOff>49531</xdr:rowOff>
    </xdr:from>
    <xdr:to>
      <xdr:col>23</xdr:col>
      <xdr:colOff>458469</xdr:colOff>
      <xdr:row>4</xdr:row>
      <xdr:rowOff>95250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9061450" y="659131"/>
          <a:ext cx="45719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24</xdr:col>
      <xdr:colOff>365125</xdr:colOff>
      <xdr:row>4</xdr:row>
      <xdr:rowOff>95250</xdr:rowOff>
    </xdr:from>
    <xdr:to>
      <xdr:col>24</xdr:col>
      <xdr:colOff>412750</xdr:colOff>
      <xdr:row>4</xdr:row>
      <xdr:rowOff>140969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flipH="1">
          <a:off x="9928225" y="704850"/>
          <a:ext cx="47625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412750</xdr:colOff>
      <xdr:row>4</xdr:row>
      <xdr:rowOff>39688</xdr:rowOff>
    </xdr:from>
    <xdr:to>
      <xdr:col>19</xdr:col>
      <xdr:colOff>523875</xdr:colOff>
      <xdr:row>4</xdr:row>
      <xdr:rowOff>95250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5832475" y="649288"/>
          <a:ext cx="111125" cy="55562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5</xdr:col>
      <xdr:colOff>600075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571500</xdr:colOff>
      <xdr:row>44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214312</xdr:colOff>
      <xdr:row>0</xdr:row>
      <xdr:rowOff>39688</xdr:rowOff>
    </xdr:from>
    <xdr:to>
      <xdr:col>22</xdr:col>
      <xdr:colOff>436562</xdr:colOff>
      <xdr:row>7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19637" y="39688"/>
          <a:ext cx="3079750" cy="1157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412750</xdr:colOff>
      <xdr:row>3</xdr:row>
      <xdr:rowOff>142875</xdr:rowOff>
    </xdr:from>
    <xdr:to>
      <xdr:col>21</xdr:col>
      <xdr:colOff>458469</xdr:colOff>
      <xdr:row>4</xdr:row>
      <xdr:rowOff>95250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 flipV="1">
          <a:off x="6861175" y="600075"/>
          <a:ext cx="45719" cy="1047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22</xdr:col>
      <xdr:colOff>317500</xdr:colOff>
      <xdr:row>4</xdr:row>
      <xdr:rowOff>49531</xdr:rowOff>
    </xdr:from>
    <xdr:to>
      <xdr:col>22</xdr:col>
      <xdr:colOff>412750</xdr:colOff>
      <xdr:row>4</xdr:row>
      <xdr:rowOff>95250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7680325" y="659131"/>
          <a:ext cx="95250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23</xdr:col>
      <xdr:colOff>412750</xdr:colOff>
      <xdr:row>4</xdr:row>
      <xdr:rowOff>49531</xdr:rowOff>
    </xdr:from>
    <xdr:to>
      <xdr:col>23</xdr:col>
      <xdr:colOff>458469</xdr:colOff>
      <xdr:row>4</xdr:row>
      <xdr:rowOff>95250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9061450" y="659131"/>
          <a:ext cx="45719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24</xdr:col>
      <xdr:colOff>365125</xdr:colOff>
      <xdr:row>4</xdr:row>
      <xdr:rowOff>95250</xdr:rowOff>
    </xdr:from>
    <xdr:to>
      <xdr:col>24</xdr:col>
      <xdr:colOff>412750</xdr:colOff>
      <xdr:row>4</xdr:row>
      <xdr:rowOff>140969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 flipH="1">
          <a:off x="9928225" y="704850"/>
          <a:ext cx="47625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412750</xdr:colOff>
      <xdr:row>4</xdr:row>
      <xdr:rowOff>39688</xdr:rowOff>
    </xdr:from>
    <xdr:to>
      <xdr:col>19</xdr:col>
      <xdr:colOff>523875</xdr:colOff>
      <xdr:row>4</xdr:row>
      <xdr:rowOff>95250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5832475" y="649288"/>
          <a:ext cx="111125" cy="55562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5</xdr:col>
      <xdr:colOff>600075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571500</xdr:colOff>
      <xdr:row>44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214312</xdr:colOff>
      <xdr:row>0</xdr:row>
      <xdr:rowOff>39688</xdr:rowOff>
    </xdr:from>
    <xdr:to>
      <xdr:col>22</xdr:col>
      <xdr:colOff>436562</xdr:colOff>
      <xdr:row>7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19637" y="39688"/>
          <a:ext cx="3079750" cy="1157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412750</xdr:colOff>
      <xdr:row>3</xdr:row>
      <xdr:rowOff>142875</xdr:rowOff>
    </xdr:from>
    <xdr:to>
      <xdr:col>21</xdr:col>
      <xdr:colOff>458469</xdr:colOff>
      <xdr:row>4</xdr:row>
      <xdr:rowOff>95250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 flipV="1">
          <a:off x="6861175" y="600075"/>
          <a:ext cx="45719" cy="1047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22</xdr:col>
      <xdr:colOff>317500</xdr:colOff>
      <xdr:row>4</xdr:row>
      <xdr:rowOff>49531</xdr:rowOff>
    </xdr:from>
    <xdr:to>
      <xdr:col>22</xdr:col>
      <xdr:colOff>412750</xdr:colOff>
      <xdr:row>4</xdr:row>
      <xdr:rowOff>95250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7680325" y="659131"/>
          <a:ext cx="95250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23</xdr:col>
      <xdr:colOff>412750</xdr:colOff>
      <xdr:row>4</xdr:row>
      <xdr:rowOff>49531</xdr:rowOff>
    </xdr:from>
    <xdr:to>
      <xdr:col>23</xdr:col>
      <xdr:colOff>458469</xdr:colOff>
      <xdr:row>4</xdr:row>
      <xdr:rowOff>95250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9061450" y="659131"/>
          <a:ext cx="45719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24</xdr:col>
      <xdr:colOff>365125</xdr:colOff>
      <xdr:row>4</xdr:row>
      <xdr:rowOff>95250</xdr:rowOff>
    </xdr:from>
    <xdr:to>
      <xdr:col>24</xdr:col>
      <xdr:colOff>412750</xdr:colOff>
      <xdr:row>4</xdr:row>
      <xdr:rowOff>140969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 flipH="1">
          <a:off x="9928225" y="704850"/>
          <a:ext cx="47625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412750</xdr:colOff>
      <xdr:row>4</xdr:row>
      <xdr:rowOff>39688</xdr:rowOff>
    </xdr:from>
    <xdr:to>
      <xdr:col>19</xdr:col>
      <xdr:colOff>523875</xdr:colOff>
      <xdr:row>4</xdr:row>
      <xdr:rowOff>95250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5832475" y="649288"/>
          <a:ext cx="111125" cy="55562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5</xdr:col>
      <xdr:colOff>600075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571500</xdr:colOff>
      <xdr:row>44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214312</xdr:colOff>
      <xdr:row>0</xdr:row>
      <xdr:rowOff>39688</xdr:rowOff>
    </xdr:from>
    <xdr:to>
      <xdr:col>22</xdr:col>
      <xdr:colOff>436562</xdr:colOff>
      <xdr:row>7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22812" y="39688"/>
          <a:ext cx="3071813" cy="115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412750</xdr:colOff>
      <xdr:row>3</xdr:row>
      <xdr:rowOff>142875</xdr:rowOff>
    </xdr:from>
    <xdr:to>
      <xdr:col>21</xdr:col>
      <xdr:colOff>458469</xdr:colOff>
      <xdr:row>4</xdr:row>
      <xdr:rowOff>95250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 flipV="1">
          <a:off x="6861175" y="600075"/>
          <a:ext cx="45719" cy="1047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22</xdr:col>
      <xdr:colOff>317500</xdr:colOff>
      <xdr:row>4</xdr:row>
      <xdr:rowOff>49531</xdr:rowOff>
    </xdr:from>
    <xdr:to>
      <xdr:col>22</xdr:col>
      <xdr:colOff>412750</xdr:colOff>
      <xdr:row>4</xdr:row>
      <xdr:rowOff>95250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7680325" y="659131"/>
          <a:ext cx="95250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23</xdr:col>
      <xdr:colOff>412750</xdr:colOff>
      <xdr:row>4</xdr:row>
      <xdr:rowOff>49531</xdr:rowOff>
    </xdr:from>
    <xdr:to>
      <xdr:col>23</xdr:col>
      <xdr:colOff>458469</xdr:colOff>
      <xdr:row>4</xdr:row>
      <xdr:rowOff>95250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8899525" y="659131"/>
          <a:ext cx="45719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24</xdr:col>
      <xdr:colOff>365125</xdr:colOff>
      <xdr:row>4</xdr:row>
      <xdr:rowOff>95250</xdr:rowOff>
    </xdr:from>
    <xdr:to>
      <xdr:col>24</xdr:col>
      <xdr:colOff>412750</xdr:colOff>
      <xdr:row>4</xdr:row>
      <xdr:rowOff>140969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 flipH="1">
          <a:off x="9766300" y="704850"/>
          <a:ext cx="47625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412750</xdr:colOff>
      <xdr:row>4</xdr:row>
      <xdr:rowOff>39688</xdr:rowOff>
    </xdr:from>
    <xdr:to>
      <xdr:col>19</xdr:col>
      <xdr:colOff>523875</xdr:colOff>
      <xdr:row>4</xdr:row>
      <xdr:rowOff>95250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5832475" y="649288"/>
          <a:ext cx="111125" cy="55562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5</xdr:col>
      <xdr:colOff>600075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571500</xdr:colOff>
      <xdr:row>44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214312</xdr:colOff>
      <xdr:row>0</xdr:row>
      <xdr:rowOff>39688</xdr:rowOff>
    </xdr:from>
    <xdr:to>
      <xdr:col>22</xdr:col>
      <xdr:colOff>436562</xdr:colOff>
      <xdr:row>7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19637" y="39688"/>
          <a:ext cx="3079750" cy="1157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412750</xdr:colOff>
      <xdr:row>3</xdr:row>
      <xdr:rowOff>142875</xdr:rowOff>
    </xdr:from>
    <xdr:to>
      <xdr:col>20</xdr:col>
      <xdr:colOff>458469</xdr:colOff>
      <xdr:row>4</xdr:row>
      <xdr:rowOff>95250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 flipV="1">
          <a:off x="6861175" y="600075"/>
          <a:ext cx="45719" cy="1047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22</xdr:col>
      <xdr:colOff>317500</xdr:colOff>
      <xdr:row>4</xdr:row>
      <xdr:rowOff>49531</xdr:rowOff>
    </xdr:from>
    <xdr:to>
      <xdr:col>22</xdr:col>
      <xdr:colOff>412750</xdr:colOff>
      <xdr:row>4</xdr:row>
      <xdr:rowOff>95250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7680325" y="659131"/>
          <a:ext cx="95250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23</xdr:col>
      <xdr:colOff>412750</xdr:colOff>
      <xdr:row>4</xdr:row>
      <xdr:rowOff>49531</xdr:rowOff>
    </xdr:from>
    <xdr:to>
      <xdr:col>23</xdr:col>
      <xdr:colOff>458469</xdr:colOff>
      <xdr:row>4</xdr:row>
      <xdr:rowOff>95250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9061450" y="659131"/>
          <a:ext cx="45719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24</xdr:col>
      <xdr:colOff>365125</xdr:colOff>
      <xdr:row>4</xdr:row>
      <xdr:rowOff>95250</xdr:rowOff>
    </xdr:from>
    <xdr:to>
      <xdr:col>24</xdr:col>
      <xdr:colOff>412750</xdr:colOff>
      <xdr:row>4</xdr:row>
      <xdr:rowOff>140969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 flipH="1">
          <a:off x="9928225" y="704850"/>
          <a:ext cx="47625" cy="4571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1\bokeeffe\Documents\2019%20FY%20Budget\FY19%20Final%20Budget%20-%20Versio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Ed R"/>
      <sheetName val="10 Ed E"/>
      <sheetName val="20 O&amp;M"/>
      <sheetName val="30 B&amp;I"/>
      <sheetName val="40 Trans"/>
      <sheetName val="50 IMRF"/>
      <sheetName val="51 FICA"/>
      <sheetName val="60 Capital"/>
      <sheetName val="70 WC"/>
      <sheetName val="80Tort"/>
      <sheetName val="90 LS"/>
      <sheetName val="By Fund"/>
      <sheetName val="35"/>
      <sheetName val="14"/>
      <sheetName val="16"/>
      <sheetName val="18"/>
      <sheetName val="9-30-2018 Update"/>
    </sheetNames>
    <sheetDataSet>
      <sheetData sheetId="0"/>
      <sheetData sheetId="1">
        <row r="57">
          <cell r="U57">
            <v>267062.16000000003</v>
          </cell>
        </row>
        <row r="58">
          <cell r="U58">
            <v>155744.24</v>
          </cell>
        </row>
        <row r="59">
          <cell r="U59">
            <v>84628.36</v>
          </cell>
        </row>
        <row r="60">
          <cell r="U60">
            <v>73814.080000000002</v>
          </cell>
        </row>
        <row r="63">
          <cell r="U63">
            <v>12627.32</v>
          </cell>
        </row>
        <row r="64">
          <cell r="U64">
            <v>8310.64</v>
          </cell>
        </row>
        <row r="65">
          <cell r="U65">
            <v>4238.1200000000008</v>
          </cell>
        </row>
        <row r="66">
          <cell r="U66">
            <v>4147.12</v>
          </cell>
        </row>
        <row r="150">
          <cell r="U150">
            <v>46781</v>
          </cell>
        </row>
        <row r="153">
          <cell r="U153">
            <v>2355</v>
          </cell>
        </row>
        <row r="200">
          <cell r="U200">
            <v>20071.04</v>
          </cell>
        </row>
        <row r="201">
          <cell r="U201">
            <v>1095.08</v>
          </cell>
        </row>
        <row r="218">
          <cell r="U218">
            <v>102279.12</v>
          </cell>
        </row>
        <row r="219">
          <cell r="U219">
            <v>207783.52</v>
          </cell>
        </row>
        <row r="220">
          <cell r="U220">
            <v>4000.96</v>
          </cell>
        </row>
        <row r="221">
          <cell r="U221">
            <v>11317.92</v>
          </cell>
        </row>
        <row r="243">
          <cell r="U243">
            <v>42268.959999999999</v>
          </cell>
        </row>
        <row r="245">
          <cell r="U245">
            <v>4380.32</v>
          </cell>
        </row>
        <row r="322">
          <cell r="U322">
            <v>41217.520000000004</v>
          </cell>
        </row>
        <row r="323">
          <cell r="U323">
            <v>21134.48</v>
          </cell>
        </row>
        <row r="324">
          <cell r="U324">
            <v>2190.16</v>
          </cell>
        </row>
        <row r="326">
          <cell r="U326">
            <v>887.12000000000012</v>
          </cell>
        </row>
        <row r="361">
          <cell r="U361">
            <v>42845.36</v>
          </cell>
        </row>
        <row r="362">
          <cell r="U362">
            <v>2304.52</v>
          </cell>
        </row>
        <row r="371">
          <cell r="U371">
            <v>25348.199999999997</v>
          </cell>
        </row>
        <row r="372">
          <cell r="U372">
            <v>1209.44</v>
          </cell>
        </row>
        <row r="388">
          <cell r="U388">
            <v>12651.96</v>
          </cell>
        </row>
        <row r="389">
          <cell r="U389">
            <v>750.88</v>
          </cell>
        </row>
        <row r="399">
          <cell r="U399">
            <v>29157.839999999997</v>
          </cell>
        </row>
        <row r="400">
          <cell r="U400">
            <v>1330.6800000000003</v>
          </cell>
        </row>
        <row r="451">
          <cell r="U451">
            <v>26453.96</v>
          </cell>
        </row>
        <row r="452">
          <cell r="U452">
            <v>7993.36</v>
          </cell>
        </row>
        <row r="453">
          <cell r="U453">
            <v>1361.6399999999999</v>
          </cell>
        </row>
        <row r="454">
          <cell r="U454">
            <v>453.88</v>
          </cell>
        </row>
        <row r="512">
          <cell r="U512">
            <v>18418.64</v>
          </cell>
        </row>
        <row r="513">
          <cell r="U513">
            <v>14673.48</v>
          </cell>
        </row>
        <row r="514">
          <cell r="U514">
            <v>951.16000000000008</v>
          </cell>
        </row>
        <row r="515">
          <cell r="U515">
            <v>951.16000000000008</v>
          </cell>
        </row>
        <row r="538">
          <cell r="U538">
            <v>15206.119999999999</v>
          </cell>
        </row>
        <row r="540">
          <cell r="U540">
            <v>951.28</v>
          </cell>
        </row>
        <row r="564">
          <cell r="U564">
            <v>64504.72</v>
          </cell>
        </row>
        <row r="565">
          <cell r="U565">
            <v>34175.360000000001</v>
          </cell>
        </row>
        <row r="566">
          <cell r="U566">
            <v>4787.32</v>
          </cell>
        </row>
        <row r="567">
          <cell r="U567">
            <v>3265.8</v>
          </cell>
        </row>
        <row r="580">
          <cell r="U580">
            <v>22273.88</v>
          </cell>
        </row>
        <row r="581">
          <cell r="U581">
            <v>18560.599999999999</v>
          </cell>
        </row>
        <row r="582">
          <cell r="U582">
            <v>14780.912</v>
          </cell>
        </row>
        <row r="583">
          <cell r="U583">
            <v>1448.48</v>
          </cell>
        </row>
        <row r="584">
          <cell r="U584">
            <v>883.76</v>
          </cell>
        </row>
        <row r="585">
          <cell r="U585">
            <v>765.92800000000011</v>
          </cell>
        </row>
        <row r="643">
          <cell r="U643">
            <v>10567.24</v>
          </cell>
        </row>
        <row r="644">
          <cell r="U644">
            <v>443.56000000000006</v>
          </cell>
        </row>
      </sheetData>
      <sheetData sheetId="2">
        <row r="31">
          <cell r="V31">
            <v>188717.2</v>
          </cell>
        </row>
      </sheetData>
      <sheetData sheetId="3"/>
      <sheetData sheetId="4">
        <row r="40">
          <cell r="W40">
            <v>216434.84000000008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S43"/>
  <sheetViews>
    <sheetView showRuler="0" zoomScale="120" zoomScaleNormal="120" zoomScalePageLayoutView="150" workbookViewId="0"/>
  </sheetViews>
  <sheetFormatPr defaultRowHeight="15"/>
  <cols>
    <col min="1" max="1" width="52.7109375" style="1" customWidth="1"/>
    <col min="2" max="2" width="16.7109375" style="47" bestFit="1" customWidth="1"/>
    <col min="3" max="3" width="20.42578125" style="47" bestFit="1" customWidth="1"/>
    <col min="4" max="7" width="14.85546875" style="47" bestFit="1" customWidth="1"/>
    <col min="8" max="8" width="1.7109375" style="47" customWidth="1"/>
    <col min="9" max="13" width="11.85546875" style="74" bestFit="1" customWidth="1"/>
    <col min="14" max="14" width="13.5703125" style="74" bestFit="1" customWidth="1"/>
    <col min="15" max="16384" width="9.140625" style="2"/>
  </cols>
  <sheetData>
    <row r="7" spans="1:14" ht="17.25">
      <c r="B7" s="49"/>
      <c r="C7" s="49"/>
      <c r="D7" s="49"/>
      <c r="E7" s="49"/>
      <c r="H7" s="49"/>
    </row>
    <row r="8" spans="1:14" ht="17.25">
      <c r="B8" s="49"/>
      <c r="C8" s="49"/>
      <c r="D8" s="49"/>
      <c r="E8" s="49"/>
      <c r="H8" s="49"/>
    </row>
    <row r="9" spans="1:14" ht="17.25">
      <c r="A9" s="4"/>
      <c r="B9" s="51"/>
      <c r="C9" s="51"/>
      <c r="D9" s="51"/>
      <c r="E9" s="51"/>
      <c r="H9" s="51"/>
      <c r="I9" s="74">
        <v>1.0349999999999999</v>
      </c>
      <c r="J9" s="74">
        <v>1.03</v>
      </c>
      <c r="K9" s="74">
        <v>1.03</v>
      </c>
      <c r="L9" s="74">
        <v>1.03</v>
      </c>
      <c r="M9" s="74">
        <v>1.03</v>
      </c>
    </row>
    <row r="10" spans="1:14" s="18" customFormat="1" ht="6" customHeight="1">
      <c r="A10" s="16"/>
      <c r="B10" s="23"/>
      <c r="C10" s="23"/>
      <c r="D10" s="23"/>
      <c r="E10" s="23"/>
      <c r="F10" s="23"/>
      <c r="G10" s="23"/>
      <c r="H10" s="39"/>
      <c r="I10" s="75"/>
      <c r="J10" s="75"/>
      <c r="K10" s="75"/>
      <c r="L10" s="75"/>
      <c r="M10" s="75"/>
      <c r="N10" s="75"/>
    </row>
    <row r="11" spans="1:14" s="7" customFormat="1" ht="15.75">
      <c r="A11" s="73" t="s">
        <v>0</v>
      </c>
      <c r="B11" s="69" t="s">
        <v>1</v>
      </c>
      <c r="C11" s="69" t="s">
        <v>2</v>
      </c>
      <c r="D11" s="69" t="s">
        <v>3</v>
      </c>
      <c r="E11" s="69" t="s">
        <v>4</v>
      </c>
      <c r="F11" s="69" t="s">
        <v>5</v>
      </c>
      <c r="G11" s="69" t="s">
        <v>6</v>
      </c>
      <c r="H11" s="40"/>
      <c r="I11" s="69" t="s">
        <v>7</v>
      </c>
      <c r="J11" s="69" t="s">
        <v>3</v>
      </c>
      <c r="K11" s="69" t="s">
        <v>4</v>
      </c>
      <c r="L11" s="69" t="s">
        <v>5</v>
      </c>
      <c r="M11" s="69" t="s">
        <v>6</v>
      </c>
      <c r="N11" s="69" t="s">
        <v>8</v>
      </c>
    </row>
    <row r="12" spans="1:14" s="24" customFormat="1" ht="15.6" customHeight="1">
      <c r="A12" s="70" t="s">
        <v>9</v>
      </c>
      <c r="B12" s="76">
        <v>5223521</v>
      </c>
      <c r="C12" s="76">
        <f>SUM(B12*$I$9)</f>
        <v>5406344.2349999994</v>
      </c>
      <c r="D12" s="76">
        <f>SUM(C12*$J$9)</f>
        <v>5568534.5620499998</v>
      </c>
      <c r="E12" s="76">
        <f>SUM(D12*$K$9)</f>
        <v>5735590.5989114996</v>
      </c>
      <c r="F12" s="76">
        <f>SUM(E12*$L$9)</f>
        <v>5907658.316878845</v>
      </c>
      <c r="G12" s="76">
        <f>SUM(F12*$M$9)</f>
        <v>6084888.0663852105</v>
      </c>
      <c r="H12" s="77"/>
      <c r="I12" s="76">
        <f>SUM(C12-B12)</f>
        <v>182823.2349999994</v>
      </c>
      <c r="J12" s="76">
        <f t="shared" ref="J12:M12" si="0">SUM(D12-C12)</f>
        <v>162190.32705000043</v>
      </c>
      <c r="K12" s="76">
        <f t="shared" si="0"/>
        <v>167056.03686149977</v>
      </c>
      <c r="L12" s="76">
        <f t="shared" si="0"/>
        <v>172067.71796734538</v>
      </c>
      <c r="M12" s="76">
        <f t="shared" si="0"/>
        <v>177229.74950636551</v>
      </c>
      <c r="N12" s="80">
        <f>SUM(I12:M12)</f>
        <v>861367.06638521049</v>
      </c>
    </row>
    <row r="13" spans="1:14" s="24" customFormat="1" ht="15.6" customHeight="1">
      <c r="A13" s="70" t="s">
        <v>10</v>
      </c>
      <c r="B13" s="76">
        <f>2169383-75000</f>
        <v>2094383</v>
      </c>
      <c r="C13" s="76">
        <f>SUM(B13*$I$9)</f>
        <v>2167686.4049999998</v>
      </c>
      <c r="D13" s="76">
        <f>SUM(C13*$J$9)</f>
        <v>2232716.9971499997</v>
      </c>
      <c r="E13" s="76">
        <f>SUM(D13*$K$9)</f>
        <v>2299698.5070644999</v>
      </c>
      <c r="F13" s="76">
        <f t="shared" ref="F13:F14" si="1">SUM(E13*$L$9)</f>
        <v>2368689.462276435</v>
      </c>
      <c r="G13" s="76">
        <f t="shared" ref="G13:G14" si="2">SUM(F13*$M$9)</f>
        <v>2439750.1461447282</v>
      </c>
      <c r="H13" s="77"/>
      <c r="I13" s="76">
        <f t="shared" ref="I13:I15" si="3">SUM(C13-B13)</f>
        <v>73303.404999999795</v>
      </c>
      <c r="J13" s="76">
        <f t="shared" ref="J13:J15" si="4">SUM(D13-C13)</f>
        <v>65030.592149999924</v>
      </c>
      <c r="K13" s="76">
        <f t="shared" ref="K13:K15" si="5">SUM(E13-D13)</f>
        <v>66981.509914500173</v>
      </c>
      <c r="L13" s="76">
        <f t="shared" ref="L13:L15" si="6">SUM(F13-E13)</f>
        <v>68990.955211935099</v>
      </c>
      <c r="M13" s="76">
        <f t="shared" ref="M13:M15" si="7">SUM(G13-F13)</f>
        <v>71060.683868293185</v>
      </c>
      <c r="N13" s="80">
        <f t="shared" ref="N13:N15" si="8">SUM(I13:M13)</f>
        <v>345367.14614472818</v>
      </c>
    </row>
    <row r="14" spans="1:14" s="24" customFormat="1" ht="15.6" customHeight="1">
      <c r="A14" s="70" t="s">
        <v>11</v>
      </c>
      <c r="B14" s="76">
        <f>821091+75000</f>
        <v>896091</v>
      </c>
      <c r="C14" s="76">
        <f>SUM(B14*$I$9)</f>
        <v>927454.18499999994</v>
      </c>
      <c r="D14" s="76">
        <f>SUM(C14*$J$9)</f>
        <v>955277.81054999994</v>
      </c>
      <c r="E14" s="76">
        <f>SUM(D14*$K$9)</f>
        <v>983936.14486649993</v>
      </c>
      <c r="F14" s="76">
        <f t="shared" si="1"/>
        <v>1013454.2292124949</v>
      </c>
      <c r="G14" s="76">
        <f t="shared" si="2"/>
        <v>1043857.8560888697</v>
      </c>
      <c r="H14" s="77"/>
      <c r="I14" s="76">
        <f t="shared" si="3"/>
        <v>31363.184999999939</v>
      </c>
      <c r="J14" s="76">
        <f t="shared" si="4"/>
        <v>27823.625549999997</v>
      </c>
      <c r="K14" s="76">
        <f t="shared" si="5"/>
        <v>28658.334316499997</v>
      </c>
      <c r="L14" s="76">
        <f t="shared" si="6"/>
        <v>29518.084345994983</v>
      </c>
      <c r="M14" s="76">
        <f t="shared" si="7"/>
        <v>30403.626876374823</v>
      </c>
      <c r="N14" s="80">
        <f t="shared" si="8"/>
        <v>147766.85608886974</v>
      </c>
    </row>
    <row r="15" spans="1:14" s="24" customFormat="1" ht="15.6" customHeight="1">
      <c r="A15" s="70" t="s">
        <v>12</v>
      </c>
      <c r="B15" s="76">
        <v>547846</v>
      </c>
      <c r="C15" s="76">
        <f>+B15</f>
        <v>547846</v>
      </c>
      <c r="D15" s="76">
        <f t="shared" ref="D15:G15" si="9">+C15</f>
        <v>547846</v>
      </c>
      <c r="E15" s="76">
        <f t="shared" si="9"/>
        <v>547846</v>
      </c>
      <c r="F15" s="76">
        <f>+E15</f>
        <v>547846</v>
      </c>
      <c r="G15" s="76">
        <f t="shared" si="9"/>
        <v>547846</v>
      </c>
      <c r="H15" s="77"/>
      <c r="I15" s="76">
        <f t="shared" si="3"/>
        <v>0</v>
      </c>
      <c r="J15" s="76">
        <f t="shared" si="4"/>
        <v>0</v>
      </c>
      <c r="K15" s="76">
        <f t="shared" si="5"/>
        <v>0</v>
      </c>
      <c r="L15" s="76">
        <f t="shared" si="6"/>
        <v>0</v>
      </c>
      <c r="M15" s="76">
        <f t="shared" si="7"/>
        <v>0</v>
      </c>
      <c r="N15" s="80">
        <f t="shared" si="8"/>
        <v>0</v>
      </c>
    </row>
    <row r="16" spans="1:14" s="28" customFormat="1" ht="16.7" customHeight="1" thickBot="1">
      <c r="A16" s="72" t="s">
        <v>13</v>
      </c>
      <c r="B16" s="78">
        <f t="shared" ref="B16:G16" si="10">SUM(B12:B15)</f>
        <v>8761841</v>
      </c>
      <c r="C16" s="78">
        <f t="shared" si="10"/>
        <v>9049330.8249999993</v>
      </c>
      <c r="D16" s="78">
        <f t="shared" si="10"/>
        <v>9304375.3697500005</v>
      </c>
      <c r="E16" s="78">
        <f t="shared" si="10"/>
        <v>9567071.2508424986</v>
      </c>
      <c r="F16" s="78">
        <f t="shared" si="10"/>
        <v>9837648.008367775</v>
      </c>
      <c r="G16" s="78">
        <f t="shared" si="10"/>
        <v>10116342.068618808</v>
      </c>
      <c r="H16" s="79"/>
      <c r="I16" s="78">
        <f t="shared" ref="I16:N16" si="11">SUM(I12:I15)</f>
        <v>287489.82499999914</v>
      </c>
      <c r="J16" s="78">
        <f t="shared" si="11"/>
        <v>255044.54475000035</v>
      </c>
      <c r="K16" s="78">
        <f t="shared" si="11"/>
        <v>262695.88109249994</v>
      </c>
      <c r="L16" s="78">
        <f t="shared" si="11"/>
        <v>270576.75752527546</v>
      </c>
      <c r="M16" s="78">
        <f t="shared" si="11"/>
        <v>278694.06025103352</v>
      </c>
      <c r="N16" s="78">
        <f t="shared" si="11"/>
        <v>1354501.0686188084</v>
      </c>
    </row>
    <row r="17" spans="1:14" s="28" customFormat="1" ht="16.7" customHeight="1" thickTop="1">
      <c r="A17" s="72"/>
      <c r="B17" s="80"/>
      <c r="C17" s="80"/>
      <c r="D17" s="80"/>
      <c r="E17" s="80"/>
      <c r="F17" s="80"/>
      <c r="G17" s="80"/>
      <c r="H17" s="81"/>
      <c r="I17" s="80"/>
      <c r="J17" s="80"/>
      <c r="K17" s="80"/>
      <c r="L17" s="80"/>
      <c r="M17" s="80"/>
      <c r="N17" s="80"/>
    </row>
    <row r="18" spans="1:14" s="24" customFormat="1">
      <c r="A18" s="72"/>
      <c r="B18" s="71"/>
      <c r="C18" s="71"/>
      <c r="D18" s="71"/>
      <c r="E18" s="71"/>
      <c r="F18" s="71"/>
      <c r="G18" s="71"/>
      <c r="H18" s="40"/>
      <c r="I18" s="74"/>
      <c r="J18" s="74">
        <v>1.05</v>
      </c>
      <c r="K18" s="74">
        <v>1.05</v>
      </c>
      <c r="L18" s="74">
        <v>1.05</v>
      </c>
      <c r="M18" s="74">
        <v>1.05</v>
      </c>
      <c r="N18" s="71"/>
    </row>
    <row r="19" spans="1:14" s="7" customFormat="1" ht="15.75">
      <c r="A19" s="73" t="s">
        <v>14</v>
      </c>
      <c r="B19" s="69" t="s">
        <v>1</v>
      </c>
      <c r="C19" s="69" t="s">
        <v>2</v>
      </c>
      <c r="D19" s="69" t="s">
        <v>3</v>
      </c>
      <c r="E19" s="69" t="s">
        <v>4</v>
      </c>
      <c r="F19" s="69" t="s">
        <v>5</v>
      </c>
      <c r="G19" s="69" t="s">
        <v>6</v>
      </c>
      <c r="H19" s="40"/>
      <c r="I19" s="69" t="s">
        <v>7</v>
      </c>
      <c r="J19" s="69" t="s">
        <v>3</v>
      </c>
      <c r="K19" s="69" t="s">
        <v>4</v>
      </c>
      <c r="L19" s="69" t="s">
        <v>5</v>
      </c>
      <c r="M19" s="69" t="s">
        <v>6</v>
      </c>
      <c r="N19" s="69" t="s">
        <v>8</v>
      </c>
    </row>
    <row r="20" spans="1:14" s="24" customFormat="1" ht="15.6" customHeight="1">
      <c r="A20" s="70" t="s">
        <v>9</v>
      </c>
      <c r="B20" s="76">
        <f>SUM('[1]10 Ed E'!$U$57+'[1]10 Ed E'!$U$58+'[1]10 Ed E'!$U$59+'[1]10 Ed E'!$U$60+'[1]10 Ed E'!$U$63+'[1]10 Ed E'!$U$64+'[1]10 Ed E'!$U$65+'[1]10 Ed E'!$U$66+'[1]10 Ed E'!$U$150+'[1]10 Ed E'!$U$153+'[1]10 Ed E'!$U$218+'[1]10 Ed E'!$U$220+'[1]10 Ed E'!$U$322+'[1]10 Ed E'!$U$323+'[1]10 Ed E'!$U$324+'[1]10 Ed E'!$U$326+'[1]10 Ed E'!$U$361+'[1]10 Ed E'!$U$362+'[1]10 Ed E'!$U$388+'[1]10 Ed E'!$U$389+'[1]10 Ed E'!$U$399+'[1]10 Ed E'!$U$400)</f>
        <v>920458.6399999999</v>
      </c>
      <c r="C20" s="76">
        <f>+B20</f>
        <v>920458.6399999999</v>
      </c>
      <c r="D20" s="76">
        <f>SUM(C20*$J$9)</f>
        <v>948072.39919999987</v>
      </c>
      <c r="E20" s="76">
        <f>SUM(D20*$K$9)</f>
        <v>976514.57117599994</v>
      </c>
      <c r="F20" s="76">
        <f>SUM(E20*$L$9)</f>
        <v>1005810.0083112799</v>
      </c>
      <c r="G20" s="76">
        <f>SUM(F20*$M$9)</f>
        <v>1035984.3085606183</v>
      </c>
      <c r="H20" s="77"/>
      <c r="I20" s="76">
        <f>SUM(C20-B20)</f>
        <v>0</v>
      </c>
      <c r="J20" s="76">
        <f t="shared" ref="J20:J22" si="12">SUM(D20-C20)</f>
        <v>27613.759199999971</v>
      </c>
      <c r="K20" s="76">
        <f t="shared" ref="K20:K22" si="13">SUM(E20-D20)</f>
        <v>28442.171976000071</v>
      </c>
      <c r="L20" s="76">
        <f t="shared" ref="L20:L22" si="14">SUM(F20-E20)</f>
        <v>29295.437135279994</v>
      </c>
      <c r="M20" s="76">
        <f t="shared" ref="M20:M22" si="15">SUM(G20-F20)</f>
        <v>30174.300249338383</v>
      </c>
      <c r="N20" s="80">
        <f>SUM(I20:M20)</f>
        <v>115525.66856061842</v>
      </c>
    </row>
    <row r="21" spans="1:14" s="24" customFormat="1" ht="15.6" customHeight="1">
      <c r="A21" s="70" t="s">
        <v>10</v>
      </c>
      <c r="B21" s="76">
        <f>SUM('[1]10 Ed E'!$U$200+'[1]10 Ed E'!$U$201+'[1]10 Ed E'!$U$219+'[1]10 Ed E'!$U$221+'[1]10 Ed E'!$U$243+'[1]10 Ed E'!$U$245+'[1]10 Ed E'!$U$371+'[1]10 Ed E'!$U$372+'[1]10 Ed E'!$U$451+'[1]10 Ed E'!$U$453+'[1]10 Ed E'!$U$513+'[1]10 Ed E'!$U$515+'[1]10 Ed E'!$U$565+'[1]10 Ed E'!$U$567+'[1]10 Ed E'!$U$581+'[1]10 Ed E'!$U$582+'[1]10 Ed E'!$U$584+'[1]10 Ed E'!$U$585+'[1]10 Ed E'!$U$643+'[1]10 Ed E'!$U$644+'[1]20 O&amp;M'!$V$31+'[1]40 Trans'!$W$40)</f>
        <v>845509.92000000016</v>
      </c>
      <c r="C21" s="76">
        <f>+B21</f>
        <v>845509.92000000016</v>
      </c>
      <c r="D21" s="76">
        <f t="shared" ref="D21" si="16">SUM(C21*$J$9)</f>
        <v>870875.21760000021</v>
      </c>
      <c r="E21" s="76">
        <f>SUM(D21*$K$9)</f>
        <v>897001.47412800021</v>
      </c>
      <c r="F21" s="76">
        <f t="shared" ref="F21" si="17">SUM(E21*$L$9)</f>
        <v>923911.5183518402</v>
      </c>
      <c r="G21" s="76">
        <f t="shared" ref="G21" si="18">SUM(F21*$M$9)</f>
        <v>951628.86390239547</v>
      </c>
      <c r="H21" s="77"/>
      <c r="I21" s="76">
        <f t="shared" ref="I21:I22" si="19">SUM(C21-B21)</f>
        <v>0</v>
      </c>
      <c r="J21" s="76">
        <f t="shared" si="12"/>
        <v>25365.297600000049</v>
      </c>
      <c r="K21" s="76">
        <f t="shared" si="13"/>
        <v>26126.256527999998</v>
      </c>
      <c r="L21" s="76">
        <f t="shared" si="14"/>
        <v>26910.044223839999</v>
      </c>
      <c r="M21" s="76">
        <f t="shared" si="15"/>
        <v>27717.34555055527</v>
      </c>
      <c r="N21" s="80">
        <f t="shared" ref="N21:N22" si="20">SUM(I21:M21)</f>
        <v>106118.94390239532</v>
      </c>
    </row>
    <row r="22" spans="1:14" s="24" customFormat="1" ht="15.6" customHeight="1">
      <c r="A22" s="70" t="s">
        <v>11</v>
      </c>
      <c r="B22" s="76">
        <f>SUM('[1]10 Ed E'!$U$452+'[1]10 Ed E'!$U$454+'[1]10 Ed E'!$U$512+'[1]10 Ed E'!$U$514+'[1]10 Ed E'!$U$538+'[1]10 Ed E'!$U$540+'[1]10 Ed E'!$U$564+'[1]10 Ed E'!$U$566+'[1]10 Ed E'!$U$580+'[1]10 Ed E'!$U$583)</f>
        <v>136988.84000000003</v>
      </c>
      <c r="C22" s="76">
        <f>+B22</f>
        <v>136988.84000000003</v>
      </c>
      <c r="D22" s="76">
        <f>SUM(C22*$J$18)</f>
        <v>143838.28200000004</v>
      </c>
      <c r="E22" s="76">
        <f>SUM(D22*K18)</f>
        <v>151030.19610000003</v>
      </c>
      <c r="F22" s="76">
        <f>SUM(E22*L18)</f>
        <v>158581.70590500004</v>
      </c>
      <c r="G22" s="76">
        <f>SUM(F22*M18)</f>
        <v>166510.79120025004</v>
      </c>
      <c r="H22" s="77"/>
      <c r="I22" s="76">
        <f t="shared" si="19"/>
        <v>0</v>
      </c>
      <c r="J22" s="76">
        <f t="shared" si="12"/>
        <v>6849.44200000001</v>
      </c>
      <c r="K22" s="76">
        <f t="shared" si="13"/>
        <v>7191.9140999999945</v>
      </c>
      <c r="L22" s="76">
        <f t="shared" si="14"/>
        <v>7551.5098050000088</v>
      </c>
      <c r="M22" s="76">
        <f t="shared" si="15"/>
        <v>7929.085295249999</v>
      </c>
      <c r="N22" s="80">
        <f t="shared" si="20"/>
        <v>29521.951200250012</v>
      </c>
    </row>
    <row r="23" spans="1:14" s="28" customFormat="1" ht="16.7" customHeight="1" thickBot="1">
      <c r="A23" s="72" t="s">
        <v>15</v>
      </c>
      <c r="B23" s="78">
        <f t="shared" ref="B23:G23" si="21">SUM(B20:B22)</f>
        <v>1902957.4000000001</v>
      </c>
      <c r="C23" s="78">
        <f t="shared" si="21"/>
        <v>1902957.4000000001</v>
      </c>
      <c r="D23" s="78">
        <f t="shared" si="21"/>
        <v>1962785.8988000001</v>
      </c>
      <c r="E23" s="78">
        <f t="shared" si="21"/>
        <v>2024546.2414040002</v>
      </c>
      <c r="F23" s="78">
        <f t="shared" si="21"/>
        <v>2088303.2325681201</v>
      </c>
      <c r="G23" s="78">
        <f t="shared" si="21"/>
        <v>2154123.9636632637</v>
      </c>
      <c r="H23" s="79"/>
      <c r="I23" s="78">
        <f t="shared" ref="I23:N23" si="22">SUM(I20:I22)</f>
        <v>0</v>
      </c>
      <c r="J23" s="78">
        <f t="shared" si="22"/>
        <v>59828.49880000003</v>
      </c>
      <c r="K23" s="78">
        <f t="shared" si="22"/>
        <v>61760.342604000063</v>
      </c>
      <c r="L23" s="78">
        <f t="shared" si="22"/>
        <v>63756.991164120001</v>
      </c>
      <c r="M23" s="78">
        <f t="shared" si="22"/>
        <v>65820.731095143652</v>
      </c>
      <c r="N23" s="78">
        <f t="shared" si="22"/>
        <v>251166.56366326375</v>
      </c>
    </row>
    <row r="24" spans="1:14" s="24" customFormat="1" ht="15.6" customHeight="1" thickTop="1">
      <c r="A24" s="70"/>
      <c r="B24" s="71"/>
      <c r="C24" s="71"/>
      <c r="D24" s="71"/>
      <c r="E24" s="71"/>
      <c r="F24" s="71"/>
      <c r="G24" s="71"/>
      <c r="H24" s="40"/>
      <c r="I24" s="71"/>
      <c r="J24" s="71"/>
      <c r="K24" s="71"/>
      <c r="L24" s="71"/>
      <c r="M24" s="71"/>
      <c r="N24" s="71"/>
    </row>
    <row r="25" spans="1:14" s="24" customFormat="1" ht="16.7" customHeight="1" thickBot="1">
      <c r="A25" s="72" t="s">
        <v>16</v>
      </c>
      <c r="B25" s="78">
        <f t="shared" ref="B25:G25" si="23">SUM(B16+B23)</f>
        <v>10664798.4</v>
      </c>
      <c r="C25" s="78">
        <f t="shared" si="23"/>
        <v>10952288.225</v>
      </c>
      <c r="D25" s="78">
        <f t="shared" si="23"/>
        <v>11267161.268550001</v>
      </c>
      <c r="E25" s="78">
        <f t="shared" si="23"/>
        <v>11591617.492246499</v>
      </c>
      <c r="F25" s="78">
        <f t="shared" si="23"/>
        <v>11925951.240935896</v>
      </c>
      <c r="G25" s="78">
        <f t="shared" si="23"/>
        <v>12270466.032282071</v>
      </c>
      <c r="H25" s="41"/>
      <c r="I25" s="71"/>
      <c r="J25" s="71"/>
      <c r="K25" s="71"/>
      <c r="L25" s="71"/>
      <c r="M25" s="71"/>
      <c r="N25" s="71"/>
    </row>
    <row r="26" spans="1:14" s="24" customFormat="1" ht="6.75" customHeight="1" thickTop="1">
      <c r="A26" s="28"/>
      <c r="B26" s="25"/>
      <c r="C26" s="25"/>
      <c r="D26" s="25"/>
      <c r="E26" s="25"/>
      <c r="F26" s="25"/>
      <c r="G26" s="25"/>
      <c r="H26" s="40"/>
      <c r="I26" s="71"/>
      <c r="J26" s="71"/>
      <c r="K26" s="71"/>
      <c r="L26" s="71"/>
      <c r="M26" s="71"/>
      <c r="N26" s="71"/>
    </row>
    <row r="27" spans="1:14">
      <c r="A27" s="6"/>
      <c r="D27" s="5"/>
      <c r="E27" s="55"/>
    </row>
    <row r="28" spans="1:14">
      <c r="A28" s="6"/>
    </row>
    <row r="29" spans="1:14">
      <c r="A29" s="6"/>
    </row>
    <row r="42" spans="1:19" s="45" customFormat="1">
      <c r="A42" s="1"/>
      <c r="B42" s="47"/>
      <c r="C42" s="47"/>
      <c r="D42" s="47"/>
      <c r="E42" s="47"/>
      <c r="F42" s="47"/>
      <c r="G42" s="47"/>
      <c r="H42" s="47"/>
      <c r="I42" s="74"/>
      <c r="J42" s="74"/>
      <c r="K42" s="74"/>
      <c r="L42" s="74"/>
      <c r="M42" s="74"/>
      <c r="N42" s="74"/>
      <c r="O42" s="2"/>
      <c r="P42" s="2"/>
      <c r="Q42" s="2"/>
      <c r="R42" s="2"/>
      <c r="S42" s="2"/>
    </row>
    <row r="43" spans="1:19" s="45" customFormat="1">
      <c r="A43" s="1"/>
      <c r="B43" s="47"/>
      <c r="C43" s="47"/>
      <c r="D43" s="47"/>
      <c r="E43" s="47"/>
      <c r="F43" s="47"/>
      <c r="G43" s="47"/>
      <c r="H43" s="47"/>
      <c r="I43" s="74"/>
      <c r="J43" s="74"/>
      <c r="K43" s="74"/>
      <c r="L43" s="74"/>
      <c r="M43" s="74"/>
      <c r="N43" s="74"/>
      <c r="O43" s="2"/>
      <c r="P43" s="2"/>
      <c r="Q43" s="2"/>
      <c r="R43" s="2"/>
      <c r="S43" s="2"/>
    </row>
  </sheetData>
  <printOptions horizontalCentered="1"/>
  <pageMargins left="0" right="0" top="0" bottom="0.5" header="0.5" footer="0.15"/>
  <pageSetup paperSize="5" scale="79" orientation="landscape" verticalDpi="300" r:id="rId1"/>
  <headerFooter>
    <oddFooter>Page &amp;P&amp;R&amp;A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G66"/>
  <sheetViews>
    <sheetView showRuler="0" zoomScale="120" zoomScaleNormal="120" zoomScalePageLayoutView="150" workbookViewId="0"/>
  </sheetViews>
  <sheetFormatPr defaultRowHeight="12"/>
  <cols>
    <col min="1" max="1" width="5.42578125" style="3" bestFit="1" customWidth="1"/>
    <col min="2" max="2" width="34.7109375" style="1" customWidth="1"/>
    <col min="3" max="5" width="10.42578125" style="47" hidden="1" customWidth="1"/>
    <col min="6" max="6" width="10.28515625" style="47" hidden="1" customWidth="1"/>
    <col min="7" max="7" width="10.42578125" style="47" hidden="1" customWidth="1"/>
    <col min="8" max="8" width="11" style="47" hidden="1" customWidth="1"/>
    <col min="9" max="13" width="10.42578125" style="47" hidden="1" customWidth="1"/>
    <col min="14" max="15" width="13.7109375" style="47" hidden="1" customWidth="1"/>
    <col min="16" max="17" width="13.7109375" style="47" customWidth="1"/>
    <col min="18" max="18" width="1.7109375" style="47" hidden="1" customWidth="1"/>
    <col min="19" max="20" width="13.7109375" style="47" customWidth="1"/>
    <col min="21" max="21" width="1.7109375" style="47" customWidth="1"/>
    <col min="22" max="22" width="13.7109375" style="47" customWidth="1"/>
    <col min="23" max="23" width="19.28515625" style="47" bestFit="1" customWidth="1"/>
    <col min="24" max="27" width="13.7109375" style="47" customWidth="1"/>
    <col min="28" max="28" width="10.42578125" style="58" bestFit="1" customWidth="1"/>
    <col min="29" max="29" width="9.140625" style="2"/>
    <col min="30" max="31" width="9.140625" style="45"/>
    <col min="32" max="16384" width="9.140625" style="2"/>
  </cols>
  <sheetData>
    <row r="7" spans="1:33" ht="17.25">
      <c r="M7" s="48"/>
      <c r="N7" s="49"/>
      <c r="O7" s="49"/>
      <c r="P7" s="49"/>
      <c r="Q7" s="49"/>
      <c r="R7" s="49"/>
      <c r="U7" s="49"/>
    </row>
    <row r="8" spans="1:33" ht="9.75" customHeight="1">
      <c r="B8" s="4"/>
      <c r="M8" s="50"/>
      <c r="N8" s="51"/>
      <c r="O8" s="51"/>
      <c r="P8" s="51"/>
      <c r="Q8" s="51"/>
      <c r="R8" s="51"/>
      <c r="U8" s="51"/>
    </row>
    <row r="9" spans="1:33" s="7" customFormat="1" ht="12.6" customHeight="1">
      <c r="A9" s="5"/>
      <c r="B9" s="4" t="s">
        <v>17</v>
      </c>
      <c r="C9" s="52"/>
      <c r="D9" s="52"/>
      <c r="E9" s="52"/>
      <c r="F9" s="52"/>
      <c r="G9" s="52"/>
      <c r="H9" s="52"/>
      <c r="I9" s="52"/>
      <c r="J9" s="52"/>
      <c r="K9" s="53"/>
      <c r="L9" s="53"/>
      <c r="M9" s="54"/>
      <c r="N9" s="54"/>
      <c r="O9" s="54"/>
      <c r="P9" s="54"/>
      <c r="Q9" s="54"/>
      <c r="R9" s="8"/>
      <c r="S9" s="54"/>
      <c r="T9" s="54"/>
      <c r="U9" s="51"/>
      <c r="V9" s="67" t="s">
        <v>18</v>
      </c>
      <c r="W9" s="68" t="s">
        <v>19</v>
      </c>
      <c r="X9" s="9" t="s">
        <v>20</v>
      </c>
      <c r="Y9" s="9" t="s">
        <v>20</v>
      </c>
      <c r="Z9" s="9" t="s">
        <v>20</v>
      </c>
      <c r="AA9" s="9" t="s">
        <v>20</v>
      </c>
      <c r="AB9" s="59"/>
      <c r="AD9" s="44"/>
      <c r="AE9" s="44"/>
    </row>
    <row r="10" spans="1:33" s="12" customFormat="1" ht="12.75">
      <c r="A10" s="5"/>
      <c r="B10" s="10"/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11" t="s">
        <v>21</v>
      </c>
      <c r="I10" s="11" t="s">
        <v>21</v>
      </c>
      <c r="J10" s="11" t="s">
        <v>21</v>
      </c>
      <c r="K10" s="11" t="s">
        <v>21</v>
      </c>
      <c r="L10" s="11" t="s">
        <v>21</v>
      </c>
      <c r="M10" s="11" t="s">
        <v>21</v>
      </c>
      <c r="N10" s="11" t="s">
        <v>21</v>
      </c>
      <c r="O10" s="11" t="s">
        <v>21</v>
      </c>
      <c r="P10" s="11" t="s">
        <v>21</v>
      </c>
      <c r="Q10" s="11" t="s">
        <v>21</v>
      </c>
      <c r="R10" s="35"/>
      <c r="S10" s="11" t="s">
        <v>21</v>
      </c>
      <c r="T10" s="11" t="s">
        <v>21</v>
      </c>
      <c r="U10" s="35"/>
      <c r="V10" s="11" t="s">
        <v>21</v>
      </c>
      <c r="W10" s="11" t="s">
        <v>21</v>
      </c>
      <c r="X10" s="11" t="s">
        <v>21</v>
      </c>
      <c r="Y10" s="11" t="s">
        <v>21</v>
      </c>
      <c r="Z10" s="11" t="s">
        <v>21</v>
      </c>
      <c r="AA10" s="11" t="s">
        <v>21</v>
      </c>
      <c r="AB10" s="60"/>
      <c r="AD10" s="44"/>
      <c r="AE10" s="44"/>
    </row>
    <row r="11" spans="1:33" s="15" customFormat="1" ht="12.75">
      <c r="A11" s="5"/>
      <c r="B11" s="13"/>
      <c r="C11" s="14">
        <v>37072</v>
      </c>
      <c r="D11" s="14">
        <v>37437</v>
      </c>
      <c r="E11" s="14">
        <v>37774</v>
      </c>
      <c r="F11" s="14">
        <v>38139</v>
      </c>
      <c r="G11" s="14">
        <v>38504</v>
      </c>
      <c r="H11" s="14">
        <v>38869</v>
      </c>
      <c r="I11" s="14">
        <v>39234</v>
      </c>
      <c r="J11" s="14">
        <v>39600</v>
      </c>
      <c r="K11" s="14">
        <v>39965</v>
      </c>
      <c r="L11" s="14">
        <v>40359</v>
      </c>
      <c r="M11" s="14">
        <v>40724</v>
      </c>
      <c r="N11" s="14">
        <v>41090</v>
      </c>
      <c r="O11" s="14">
        <v>41455</v>
      </c>
      <c r="P11" s="14">
        <v>41820</v>
      </c>
      <c r="Q11" s="14">
        <v>42185</v>
      </c>
      <c r="R11" s="36"/>
      <c r="S11" s="14">
        <v>42551</v>
      </c>
      <c r="T11" s="14">
        <v>42916</v>
      </c>
      <c r="U11" s="36"/>
      <c r="V11" s="14">
        <v>43281</v>
      </c>
      <c r="W11" s="14">
        <v>43646</v>
      </c>
      <c r="X11" s="14">
        <v>44012</v>
      </c>
      <c r="Y11" s="14">
        <v>44377</v>
      </c>
      <c r="Z11" s="14">
        <v>44742</v>
      </c>
      <c r="AA11" s="14">
        <v>45107</v>
      </c>
      <c r="AB11" s="60"/>
      <c r="AD11" s="44"/>
      <c r="AE11" s="44"/>
    </row>
    <row r="12" spans="1:33" s="18" customFormat="1" ht="3" customHeight="1">
      <c r="A12" s="5"/>
      <c r="B12" s="16"/>
      <c r="C12" s="14"/>
      <c r="D12" s="14"/>
      <c r="E12" s="14"/>
      <c r="F12" s="14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7"/>
      <c r="S12" s="17"/>
      <c r="T12" s="17"/>
      <c r="U12" s="37"/>
      <c r="V12" s="17"/>
      <c r="W12" s="17"/>
      <c r="X12" s="17"/>
      <c r="Y12" s="17"/>
      <c r="Z12" s="17"/>
      <c r="AA12" s="17"/>
      <c r="AB12" s="59"/>
      <c r="AD12" s="44"/>
      <c r="AE12" s="44"/>
    </row>
    <row r="13" spans="1:33" s="21" customFormat="1" ht="12.75">
      <c r="A13" s="5">
        <v>1</v>
      </c>
      <c r="B13" s="19" t="s">
        <v>22</v>
      </c>
      <c r="C13" s="20">
        <v>7989000</v>
      </c>
      <c r="D13" s="20">
        <f t="shared" ref="D13:J13" si="0">C43</f>
        <v>7795000</v>
      </c>
      <c r="E13" s="20">
        <f t="shared" si="0"/>
        <v>7281000</v>
      </c>
      <c r="F13" s="20">
        <f t="shared" si="0"/>
        <v>5137000</v>
      </c>
      <c r="G13" s="20">
        <f t="shared" si="0"/>
        <v>16363000</v>
      </c>
      <c r="H13" s="20">
        <f t="shared" si="0"/>
        <v>11704000</v>
      </c>
      <c r="I13" s="20">
        <f t="shared" si="0"/>
        <v>7924000</v>
      </c>
      <c r="J13" s="20">
        <f t="shared" si="0"/>
        <v>6202000</v>
      </c>
      <c r="K13" s="20">
        <f>J43</f>
        <v>3307000</v>
      </c>
      <c r="L13" s="20">
        <f>K43</f>
        <v>8601000</v>
      </c>
      <c r="M13" s="20">
        <f>L43</f>
        <v>7576000</v>
      </c>
      <c r="N13" s="20">
        <f>M43</f>
        <v>7350387</v>
      </c>
      <c r="O13" s="20">
        <v>7634658.0300000003</v>
      </c>
      <c r="P13" s="20">
        <f t="shared" ref="P13:AA13" si="1">O43</f>
        <v>7912299.4299999997</v>
      </c>
      <c r="Q13" s="20">
        <f t="shared" si="1"/>
        <v>8334084.0500000026</v>
      </c>
      <c r="R13" s="38"/>
      <c r="S13" s="20">
        <f>Q43</f>
        <v>9335508.0300000031</v>
      </c>
      <c r="T13" s="20">
        <f>S43</f>
        <v>8139283.6499999976</v>
      </c>
      <c r="U13" s="38"/>
      <c r="V13" s="20">
        <f>T43</f>
        <v>11564655.299999999</v>
      </c>
      <c r="W13" s="20">
        <f t="shared" si="1"/>
        <v>13589463.550000006</v>
      </c>
      <c r="X13" s="20">
        <f t="shared" si="1"/>
        <v>13837079.920000009</v>
      </c>
      <c r="Y13" s="20">
        <f t="shared" si="1"/>
        <v>13087671.714000009</v>
      </c>
      <c r="Z13" s="20">
        <f t="shared" si="1"/>
        <v>12177598.640362501</v>
      </c>
      <c r="AA13" s="20">
        <f t="shared" si="1"/>
        <v>10833412.523296185</v>
      </c>
      <c r="AB13" s="59"/>
      <c r="AD13" s="44"/>
      <c r="AE13" s="44"/>
    </row>
    <row r="14" spans="1:33" s="18" customFormat="1" ht="6" customHeight="1">
      <c r="A14" s="5"/>
      <c r="B14" s="16"/>
      <c r="C14" s="22"/>
      <c r="D14" s="22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9"/>
      <c r="S14" s="23"/>
      <c r="T14" s="23"/>
      <c r="U14" s="39"/>
      <c r="V14" s="23"/>
      <c r="W14" s="23"/>
      <c r="X14" s="23"/>
      <c r="Y14" s="23"/>
      <c r="Z14" s="23"/>
      <c r="AA14" s="23"/>
      <c r="AB14" s="59"/>
      <c r="AD14" s="44"/>
      <c r="AE14" s="44"/>
    </row>
    <row r="15" spans="1:33" s="7" customFormat="1" ht="12.75">
      <c r="A15" s="5">
        <v>2</v>
      </c>
      <c r="B15" s="6" t="s">
        <v>23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40"/>
      <c r="S15" s="25"/>
      <c r="T15" s="25"/>
      <c r="U15" s="40"/>
      <c r="V15" s="25"/>
      <c r="W15" s="25"/>
      <c r="X15" s="25"/>
      <c r="Y15" s="25"/>
      <c r="Z15" s="25"/>
      <c r="AA15" s="25"/>
      <c r="AB15" s="59"/>
      <c r="AD15" s="64" t="s">
        <v>24</v>
      </c>
      <c r="AE15" s="64" t="s">
        <v>25</v>
      </c>
      <c r="AF15" s="64" t="s">
        <v>26</v>
      </c>
      <c r="AG15" s="64" t="s">
        <v>27</v>
      </c>
    </row>
    <row r="16" spans="1:33" s="24" customFormat="1" ht="15.6" customHeight="1">
      <c r="A16" s="5">
        <v>3</v>
      </c>
      <c r="B16" s="26" t="s">
        <v>28</v>
      </c>
      <c r="C16" s="25">
        <v>5794000</v>
      </c>
      <c r="D16" s="25">
        <v>5978000</v>
      </c>
      <c r="E16" s="25">
        <v>6232000</v>
      </c>
      <c r="F16" s="25">
        <v>6407000</v>
      </c>
      <c r="G16" s="25">
        <v>6555000</v>
      </c>
      <c r="H16" s="25">
        <v>6815000</v>
      </c>
      <c r="I16" s="25">
        <v>8500000</v>
      </c>
      <c r="J16" s="25">
        <v>7654000</v>
      </c>
      <c r="K16" s="25">
        <v>8217000</v>
      </c>
      <c r="L16" s="25">
        <v>9210000</v>
      </c>
      <c r="M16" s="25">
        <v>8898309</v>
      </c>
      <c r="N16" s="27">
        <v>9215013</v>
      </c>
      <c r="O16" s="27">
        <v>9018419.3100000005</v>
      </c>
      <c r="P16" s="25">
        <f>SUM(9604681.28-116675.29)</f>
        <v>9488005.9900000002</v>
      </c>
      <c r="Q16" s="25">
        <v>9396925.5800000001</v>
      </c>
      <c r="R16" s="40"/>
      <c r="S16" s="25">
        <v>10056749.880000001</v>
      </c>
      <c r="T16" s="25">
        <v>9863623.9800000004</v>
      </c>
      <c r="U16" s="40"/>
      <c r="V16" s="25">
        <v>9942745.3100000005</v>
      </c>
      <c r="W16" s="25">
        <v>10014319</v>
      </c>
      <c r="X16" s="25">
        <f>SUM(W16-W31)*1.025+(X31*1.025)</f>
        <v>10311987.1415</v>
      </c>
      <c r="Y16" s="25">
        <f>SUM(X16-X31)*AB16+(Y31*AB16)</f>
        <v>10575362.820037499</v>
      </c>
      <c r="Z16" s="25">
        <f>SUM(Y16-Y31)*AB16+(Z31*AB16)</f>
        <v>10907464.796788435</v>
      </c>
      <c r="AA16" s="25">
        <f>SUM(Z16-Z31)*AB16+(AA31*AB16)</f>
        <v>11204194.072958145</v>
      </c>
      <c r="AB16" s="61">
        <v>1.0249999999999999</v>
      </c>
      <c r="AD16" s="44">
        <f t="shared" ref="AD16:AD21" si="2">SUM(V16/($V$22+$V$39))</f>
        <v>0.51890928480308163</v>
      </c>
      <c r="AE16" s="44">
        <f t="shared" ref="AE16:AE21" si="3">SUM(W16/($W$22+$W$39))</f>
        <v>0.53779942189015972</v>
      </c>
      <c r="AF16" s="44">
        <f t="shared" ref="AF16:AF21" si="4">SUM(X16/($X$22+$X$39))</f>
        <v>0.55529620558968651</v>
      </c>
      <c r="AG16" s="44">
        <f t="shared" ref="AG16:AG21" si="5">SUM(Y16/($Y$22+$Y$39))</f>
        <v>0.56116021860399412</v>
      </c>
    </row>
    <row r="17" spans="1:33" s="24" customFormat="1" ht="15.6" customHeight="1">
      <c r="A17" s="5">
        <v>4</v>
      </c>
      <c r="B17" s="26" t="s">
        <v>29</v>
      </c>
      <c r="C17" s="25">
        <v>921000</v>
      </c>
      <c r="D17" s="25">
        <v>871000</v>
      </c>
      <c r="E17" s="25">
        <v>753000</v>
      </c>
      <c r="F17" s="25">
        <v>646000</v>
      </c>
      <c r="G17" s="25">
        <v>785000</v>
      </c>
      <c r="H17" s="25">
        <v>929000</v>
      </c>
      <c r="I17" s="25">
        <v>1025000</v>
      </c>
      <c r="J17" s="25">
        <v>946000</v>
      </c>
      <c r="K17" s="25">
        <v>749000</v>
      </c>
      <c r="L17" s="25">
        <v>826000</v>
      </c>
      <c r="M17" s="25">
        <v>773313</v>
      </c>
      <c r="N17" s="27">
        <v>855251</v>
      </c>
      <c r="O17" s="27">
        <f>SUM(931002-200000-100000)</f>
        <v>631002</v>
      </c>
      <c r="P17" s="25">
        <f>SUM(509529.12+116675.29+14158.57)</f>
        <v>640362.98</v>
      </c>
      <c r="Q17" s="25">
        <v>599134</v>
      </c>
      <c r="R17" s="40"/>
      <c r="S17" s="25">
        <v>544316.53</v>
      </c>
      <c r="T17" s="25">
        <v>568577.67000000004</v>
      </c>
      <c r="U17" s="40"/>
      <c r="V17" s="25">
        <v>590892.73</v>
      </c>
      <c r="W17" s="25">
        <f>SUM(10598155-10014319)</f>
        <v>583836</v>
      </c>
      <c r="X17" s="25">
        <f>+W17*AB17</f>
        <v>595512.72</v>
      </c>
      <c r="Y17" s="25">
        <f>+X17*AB17</f>
        <v>607422.97439999995</v>
      </c>
      <c r="Z17" s="25">
        <f>+Y17*AB17</f>
        <v>619571.43388799997</v>
      </c>
      <c r="AA17" s="25">
        <f>SUM(Z17-Z32)*AB17+(AA32*AB17)</f>
        <v>631962.86256576004</v>
      </c>
      <c r="AB17" s="61">
        <v>1.02</v>
      </c>
      <c r="AD17" s="44">
        <f t="shared" si="2"/>
        <v>3.0838537482324426E-2</v>
      </c>
      <c r="AE17" s="44">
        <f t="shared" si="3"/>
        <v>3.1353770863367075E-2</v>
      </c>
      <c r="AF17" s="44">
        <f t="shared" si="4"/>
        <v>3.2068111534542823E-2</v>
      </c>
      <c r="AG17" s="44">
        <f t="shared" si="5"/>
        <v>3.2231670430592718E-2</v>
      </c>
    </row>
    <row r="18" spans="1:33" s="24" customFormat="1" ht="15.6" customHeight="1">
      <c r="A18" s="5">
        <v>5</v>
      </c>
      <c r="B18" s="26" t="s">
        <v>30</v>
      </c>
      <c r="C18" s="25">
        <v>1595000</v>
      </c>
      <c r="D18" s="25">
        <v>1697000</v>
      </c>
      <c r="E18" s="25">
        <v>1711000</v>
      </c>
      <c r="F18" s="25">
        <v>2026000</v>
      </c>
      <c r="G18" s="25">
        <v>2508000</v>
      </c>
      <c r="H18" s="25">
        <v>2788000</v>
      </c>
      <c r="I18" s="25">
        <v>3345000</v>
      </c>
      <c r="J18" s="25">
        <v>3470000</v>
      </c>
      <c r="K18" s="25">
        <v>4019000</v>
      </c>
      <c r="L18" s="25">
        <v>3863000</v>
      </c>
      <c r="M18" s="25">
        <v>3774613</v>
      </c>
      <c r="N18" s="27">
        <v>3425646</v>
      </c>
      <c r="O18" s="27">
        <v>3336443.93</v>
      </c>
      <c r="P18" s="25">
        <v>3292376.03</v>
      </c>
      <c r="Q18" s="25">
        <f>SUM(3607389.19+80212)</f>
        <v>3687601.19</v>
      </c>
      <c r="R18" s="40"/>
      <c r="S18" s="25">
        <v>4152330.45</v>
      </c>
      <c r="T18" s="25">
        <v>4599383.51</v>
      </c>
      <c r="U18" s="40"/>
      <c r="V18" s="25">
        <f>SUM(5123615.99+556984.15+24435.51)</f>
        <v>5705035.6500000004</v>
      </c>
      <c r="W18" s="25">
        <f>SUM(5123615.99+556984.15+24874)+360016.98</f>
        <v>6065491.120000001</v>
      </c>
      <c r="X18" s="25">
        <f>SUM(W18*$AB$18)-360016.98</f>
        <v>5705474.1400000006</v>
      </c>
      <c r="Y18" s="25">
        <f>SUM(X18*$AB$18)</f>
        <v>5705474.1400000006</v>
      </c>
      <c r="Z18" s="25">
        <f>SUM(Y18*$AB$18)</f>
        <v>5705474.1400000006</v>
      </c>
      <c r="AA18" s="25">
        <f>SUM(Z18*$AB$18)</f>
        <v>5705474.1400000006</v>
      </c>
      <c r="AB18" s="61">
        <v>1</v>
      </c>
      <c r="AD18" s="44">
        <f t="shared" si="2"/>
        <v>0.29774432278177143</v>
      </c>
      <c r="AE18" s="44">
        <f t="shared" si="3"/>
        <v>0.32573534134631599</v>
      </c>
      <c r="AF18" s="44">
        <f t="shared" si="4"/>
        <v>0.30723740221530416</v>
      </c>
      <c r="AG18" s="44">
        <f t="shared" si="5"/>
        <v>0.30274943471211163</v>
      </c>
    </row>
    <row r="19" spans="1:33" s="24" customFormat="1" ht="15.6" customHeight="1">
      <c r="A19" s="5">
        <v>6</v>
      </c>
      <c r="B19" s="26" t="s">
        <v>31</v>
      </c>
      <c r="C19" s="25">
        <v>1838000</v>
      </c>
      <c r="D19" s="25">
        <v>1354000</v>
      </c>
      <c r="E19" s="25">
        <v>1627000</v>
      </c>
      <c r="F19" s="25">
        <v>2052000</v>
      </c>
      <c r="G19" s="25">
        <v>1801000</v>
      </c>
      <c r="H19" s="25">
        <v>1771000</v>
      </c>
      <c r="I19" s="25">
        <v>2321000</v>
      </c>
      <c r="J19" s="25">
        <v>1766000</v>
      </c>
      <c r="K19" s="25">
        <v>1948000</v>
      </c>
      <c r="L19" s="25">
        <v>1834000</v>
      </c>
      <c r="M19" s="25">
        <v>2294113</v>
      </c>
      <c r="N19" s="27">
        <v>1867696</v>
      </c>
      <c r="O19" s="27">
        <f>SUM(5572254.07-O18)</f>
        <v>2235810.14</v>
      </c>
      <c r="P19" s="25">
        <v>2220209.29</v>
      </c>
      <c r="Q19" s="25">
        <f>SUM(1485336.78-80212)</f>
        <v>1405124.78</v>
      </c>
      <c r="R19" s="40"/>
      <c r="S19" s="25">
        <v>1168911.3899999999</v>
      </c>
      <c r="T19" s="25">
        <v>1060500.6000000001</v>
      </c>
      <c r="U19" s="40"/>
      <c r="V19" s="25">
        <v>1577389.5</v>
      </c>
      <c r="W19" s="25">
        <v>1004006</v>
      </c>
      <c r="X19" s="25">
        <f>SUM(W19*$AB$19)</f>
        <v>1004006</v>
      </c>
      <c r="Y19" s="25">
        <f>SUM(X19*$AB$19)</f>
        <v>1004006</v>
      </c>
      <c r="Z19" s="25">
        <f>SUM(Y19*$AB$19)</f>
        <v>1004006</v>
      </c>
      <c r="AA19" s="25">
        <f>SUM(Z19*$AB$19)</f>
        <v>1004006</v>
      </c>
      <c r="AB19" s="61">
        <v>1</v>
      </c>
      <c r="AD19" s="44">
        <f t="shared" si="2"/>
        <v>8.2323546644371456E-2</v>
      </c>
      <c r="AE19" s="44">
        <f t="shared" si="3"/>
        <v>5.3918179196633512E-2</v>
      </c>
      <c r="AF19" s="44">
        <f t="shared" si="4"/>
        <v>5.4065304246314339E-2</v>
      </c>
      <c r="AG19" s="44">
        <f t="shared" si="5"/>
        <v>5.3275545815999151E-2</v>
      </c>
    </row>
    <row r="20" spans="1:33" s="24" customFormat="1" ht="15.6" customHeight="1">
      <c r="A20" s="5">
        <v>7</v>
      </c>
      <c r="B20" s="26" t="s">
        <v>32</v>
      </c>
      <c r="C20" s="25">
        <v>650000</v>
      </c>
      <c r="D20" s="25">
        <v>532000</v>
      </c>
      <c r="E20" s="25">
        <v>543000</v>
      </c>
      <c r="F20" s="25">
        <v>513000</v>
      </c>
      <c r="G20" s="25">
        <v>575000</v>
      </c>
      <c r="H20" s="25">
        <v>463000</v>
      </c>
      <c r="I20" s="25">
        <v>725000</v>
      </c>
      <c r="J20" s="25">
        <v>557000</v>
      </c>
      <c r="K20" s="25">
        <v>638000</v>
      </c>
      <c r="L20" s="25">
        <v>888000</v>
      </c>
      <c r="M20" s="25">
        <v>1508186</v>
      </c>
      <c r="N20" s="27">
        <v>964380</v>
      </c>
      <c r="O20" s="27">
        <v>890972.82</v>
      </c>
      <c r="P20" s="25">
        <v>872664.53</v>
      </c>
      <c r="Q20" s="25">
        <v>964588.89</v>
      </c>
      <c r="R20" s="40"/>
      <c r="S20" s="25">
        <v>1026466.58</v>
      </c>
      <c r="T20" s="25">
        <v>1119230.49</v>
      </c>
      <c r="U20" s="40"/>
      <c r="V20" s="25">
        <v>1016697.83</v>
      </c>
      <c r="W20" s="25">
        <v>953266</v>
      </c>
      <c r="X20" s="25">
        <f>SUM(W20*$AB$20)</f>
        <v>953266</v>
      </c>
      <c r="Y20" s="25">
        <f>SUM(X20*$AB$20)</f>
        <v>953266</v>
      </c>
      <c r="Z20" s="25">
        <f>SUM(Y20*$AB$20)</f>
        <v>953266</v>
      </c>
      <c r="AA20" s="25">
        <f>SUM(Z20*$AB$20)</f>
        <v>953266</v>
      </c>
      <c r="AB20" s="61">
        <v>1</v>
      </c>
      <c r="AD20" s="44">
        <f t="shared" si="2"/>
        <v>5.306119460744238E-2</v>
      </c>
      <c r="AE20" s="44">
        <f t="shared" si="3"/>
        <v>5.1193286703523723E-2</v>
      </c>
      <c r="AF20" s="44">
        <f t="shared" si="4"/>
        <v>5.1332976414151993E-2</v>
      </c>
      <c r="AG20" s="44">
        <f t="shared" si="5"/>
        <v>5.0583130437302413E-2</v>
      </c>
    </row>
    <row r="21" spans="1:33" s="24" customFormat="1" ht="15.6" customHeight="1">
      <c r="A21" s="5">
        <v>8</v>
      </c>
      <c r="B21" s="26" t="s">
        <v>33</v>
      </c>
      <c r="C21" s="25"/>
      <c r="D21" s="25"/>
      <c r="E21" s="25"/>
      <c r="F21" s="25"/>
      <c r="G21" s="25"/>
      <c r="H21" s="25"/>
      <c r="I21" s="25"/>
      <c r="J21" s="25"/>
      <c r="K21" s="25">
        <v>0</v>
      </c>
      <c r="L21" s="25">
        <v>0</v>
      </c>
      <c r="M21" s="25">
        <v>0</v>
      </c>
      <c r="N21" s="27">
        <v>0</v>
      </c>
      <c r="O21" s="27">
        <f>SUM(3795000+433865.85)</f>
        <v>4228865.8499999996</v>
      </c>
      <c r="P21" s="25">
        <v>0</v>
      </c>
      <c r="Q21" s="25">
        <v>1500468</v>
      </c>
      <c r="R21" s="40"/>
      <c r="S21" s="25">
        <v>0</v>
      </c>
      <c r="T21" s="25">
        <f>SUM(6390000-340181.53)</f>
        <v>6049818.4699999997</v>
      </c>
      <c r="U21" s="40"/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61"/>
      <c r="AD21" s="44">
        <f t="shared" si="2"/>
        <v>0</v>
      </c>
      <c r="AE21" s="44">
        <f t="shared" si="3"/>
        <v>0</v>
      </c>
      <c r="AF21" s="44">
        <f t="shared" si="4"/>
        <v>0</v>
      </c>
      <c r="AG21" s="44">
        <f t="shared" si="5"/>
        <v>0</v>
      </c>
    </row>
    <row r="22" spans="1:33" s="28" customFormat="1" ht="16.7" customHeight="1" thickBot="1">
      <c r="A22" s="5">
        <v>9</v>
      </c>
      <c r="B22" s="28" t="s">
        <v>34</v>
      </c>
      <c r="C22" s="29">
        <f t="shared" ref="C22:J22" si="6">SUM(C16:C20)</f>
        <v>10798000</v>
      </c>
      <c r="D22" s="29">
        <f t="shared" si="6"/>
        <v>10432000</v>
      </c>
      <c r="E22" s="29">
        <f t="shared" si="6"/>
        <v>10866000</v>
      </c>
      <c r="F22" s="29">
        <f t="shared" si="6"/>
        <v>11644000</v>
      </c>
      <c r="G22" s="29">
        <f t="shared" si="6"/>
        <v>12224000</v>
      </c>
      <c r="H22" s="29">
        <f t="shared" si="6"/>
        <v>12766000</v>
      </c>
      <c r="I22" s="29">
        <f t="shared" si="6"/>
        <v>15916000</v>
      </c>
      <c r="J22" s="29">
        <f t="shared" si="6"/>
        <v>14393000</v>
      </c>
      <c r="K22" s="29">
        <f>SUM(K16:K21)</f>
        <v>15571000</v>
      </c>
      <c r="L22" s="29">
        <f>SUM(L16:L21)</f>
        <v>16621000</v>
      </c>
      <c r="M22" s="29">
        <f>SUM(M16:M21)</f>
        <v>17248534</v>
      </c>
      <c r="N22" s="29">
        <f>SUM(N16:N21)</f>
        <v>16327986</v>
      </c>
      <c r="O22" s="29">
        <f t="shared" ref="O22:AA22" si="7">SUM(O16:O21)</f>
        <v>20341514.050000001</v>
      </c>
      <c r="P22" s="29">
        <f t="shared" si="7"/>
        <v>16513618.819999998</v>
      </c>
      <c r="Q22" s="29">
        <f t="shared" si="7"/>
        <v>17553842.439999998</v>
      </c>
      <c r="R22" s="41"/>
      <c r="S22" s="29">
        <f t="shared" si="7"/>
        <v>16948774.829999998</v>
      </c>
      <c r="T22" s="29">
        <f t="shared" si="7"/>
        <v>23261134.719999999</v>
      </c>
      <c r="U22" s="41"/>
      <c r="V22" s="29">
        <f t="shared" si="7"/>
        <v>18832761.02</v>
      </c>
      <c r="W22" s="29">
        <f t="shared" si="7"/>
        <v>18620918.120000001</v>
      </c>
      <c r="X22" s="29">
        <f t="shared" si="7"/>
        <v>18570246.001500003</v>
      </c>
      <c r="Y22" s="29">
        <f t="shared" si="7"/>
        <v>18845531.934437498</v>
      </c>
      <c r="Z22" s="29">
        <f t="shared" si="7"/>
        <v>19189782.370676436</v>
      </c>
      <c r="AA22" s="29">
        <f t="shared" si="7"/>
        <v>19498903.075523905</v>
      </c>
      <c r="AB22" s="62"/>
      <c r="AD22" s="44">
        <f>SUM(V39/($V$22+$V$39))</f>
        <v>1.7123113681008793E-2</v>
      </c>
      <c r="AE22" s="44">
        <f>SUM(W39/($W$22+$W$39))</f>
        <v>0</v>
      </c>
      <c r="AF22" s="44">
        <f>SUM(X39/($X$22+$X$39))</f>
        <v>0</v>
      </c>
      <c r="AG22" s="44">
        <f>SUM(Y39/($Y$22+$Y$39))</f>
        <v>0</v>
      </c>
    </row>
    <row r="23" spans="1:33" s="24" customFormat="1" ht="6.75" customHeight="1" thickTop="1">
      <c r="A23" s="5"/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40"/>
      <c r="S23" s="25"/>
      <c r="T23" s="25"/>
      <c r="U23" s="40"/>
      <c r="V23" s="25"/>
      <c r="W23" s="25"/>
      <c r="X23" s="25"/>
      <c r="Y23" s="25"/>
      <c r="Z23" s="25"/>
      <c r="AA23" s="25"/>
      <c r="AB23" s="61"/>
      <c r="AD23" s="44"/>
      <c r="AE23" s="44"/>
      <c r="AF23" s="44"/>
      <c r="AG23" s="44"/>
    </row>
    <row r="24" spans="1:33" s="24" customFormat="1" ht="15" customHeight="1">
      <c r="A24" s="5">
        <v>10</v>
      </c>
      <c r="B24" s="28" t="s">
        <v>35</v>
      </c>
      <c r="C24" s="44">
        <f t="shared" ref="C24" si="8">SUM(C25+C26)/(C34-C31-C32-C33)</f>
        <v>0.76787492531368251</v>
      </c>
      <c r="D24" s="44">
        <f t="shared" ref="D24" si="9">SUM(D25+D26)/(D34-D31-D32-D33)</f>
        <v>0.80340887081154366</v>
      </c>
      <c r="E24" s="44">
        <f t="shared" ref="E24:S24" si="10">SUM(E25+E26)/(E34-E31-E32-E33)</f>
        <v>0.81176578560939794</v>
      </c>
      <c r="F24" s="44">
        <f t="shared" si="10"/>
        <v>0.82318591670244745</v>
      </c>
      <c r="G24" s="44">
        <f t="shared" si="10"/>
        <v>0.80702317004730217</v>
      </c>
      <c r="H24" s="44">
        <f t="shared" si="10"/>
        <v>0.76568038775953118</v>
      </c>
      <c r="I24" s="44">
        <f t="shared" si="10"/>
        <v>0.77673559297946426</v>
      </c>
      <c r="J24" s="44">
        <f t="shared" si="10"/>
        <v>0.77143248425089017</v>
      </c>
      <c r="K24" s="44">
        <f t="shared" si="10"/>
        <v>0.78928144507902775</v>
      </c>
      <c r="L24" s="44">
        <f t="shared" si="10"/>
        <v>0.79107215654300855</v>
      </c>
      <c r="M24" s="44">
        <f t="shared" si="10"/>
        <v>0.78953843052177963</v>
      </c>
      <c r="N24" s="44">
        <f t="shared" si="10"/>
        <v>0.78421632122537344</v>
      </c>
      <c r="O24" s="44">
        <f t="shared" si="10"/>
        <v>0.75856500333012244</v>
      </c>
      <c r="P24" s="44">
        <f t="shared" si="10"/>
        <v>0.77022780548325509</v>
      </c>
      <c r="Q24" s="44">
        <f t="shared" si="10"/>
        <v>0.73185648949982662</v>
      </c>
      <c r="R24" s="44" t="e">
        <f t="shared" si="10"/>
        <v>#DIV/0!</v>
      </c>
      <c r="S24" s="44">
        <f t="shared" si="10"/>
        <v>0.70575106704808765</v>
      </c>
      <c r="T24" s="44">
        <f>SUM(T25+T26)/(T34-T31-T32-T33)</f>
        <v>0.70743473051644434</v>
      </c>
      <c r="U24" s="40"/>
      <c r="V24" s="44">
        <f t="shared" ref="V24:Z24" si="11">SUM(V25+V26)/(V34-V31-V32-V33)</f>
        <v>0.78825519327922966</v>
      </c>
      <c r="W24" s="44">
        <f t="shared" si="11"/>
        <v>0.76765838560090593</v>
      </c>
      <c r="X24" s="44">
        <f t="shared" si="11"/>
        <v>0.76080914323666116</v>
      </c>
      <c r="Y24" s="44">
        <f t="shared" si="11"/>
        <v>0.7771074434125721</v>
      </c>
      <c r="Z24" s="44">
        <f t="shared" si="11"/>
        <v>0.78175252869120038</v>
      </c>
      <c r="AA24" s="44">
        <f t="shared" ref="AA24" si="12">SUM(AA25+AA26)/(AA34-AA31-AA32-AA33)</f>
        <v>0.78634256404866443</v>
      </c>
      <c r="AB24" s="61"/>
      <c r="AD24" s="64" t="s">
        <v>24</v>
      </c>
      <c r="AE24" s="64" t="s">
        <v>25</v>
      </c>
      <c r="AF24" s="64" t="s">
        <v>26</v>
      </c>
      <c r="AG24" s="64" t="s">
        <v>27</v>
      </c>
    </row>
    <row r="25" spans="1:33" s="24" customFormat="1" ht="15.6" customHeight="1">
      <c r="A25" s="5">
        <v>11</v>
      </c>
      <c r="B25" s="24" t="s">
        <v>36</v>
      </c>
      <c r="C25" s="25">
        <v>6482000</v>
      </c>
      <c r="D25" s="25">
        <v>6949000</v>
      </c>
      <c r="E25" s="25">
        <v>7343000</v>
      </c>
      <c r="F25" s="25">
        <v>7851000</v>
      </c>
      <c r="G25" s="25">
        <v>8006000</v>
      </c>
      <c r="H25" s="25">
        <v>8343000</v>
      </c>
      <c r="I25" s="25">
        <v>8441000</v>
      </c>
      <c r="J25" s="25">
        <v>8750000</v>
      </c>
      <c r="K25" s="25">
        <v>9247000</v>
      </c>
      <c r="L25" s="25">
        <v>9018000</v>
      </c>
      <c r="M25" s="25">
        <v>9231681</v>
      </c>
      <c r="N25" s="25">
        <v>8092162</v>
      </c>
      <c r="O25" s="25">
        <v>7994628.2999999998</v>
      </c>
      <c r="P25" s="25">
        <v>8154947.2699999996</v>
      </c>
      <c r="Q25" s="25">
        <v>8217043.0599999996</v>
      </c>
      <c r="R25" s="40"/>
      <c r="S25" s="25">
        <v>8399565.0199999996</v>
      </c>
      <c r="T25" s="25">
        <v>8056718.7000000002</v>
      </c>
      <c r="U25" s="40"/>
      <c r="V25" s="25">
        <v>8461442.3399999999</v>
      </c>
      <c r="W25" s="25">
        <f>SUM(8761841-547846)*1.05+547846</f>
        <v>9172540.75</v>
      </c>
      <c r="X25" s="25">
        <f>SUM(W25-547846)*$AB$25+547846</f>
        <v>9603775.4875000007</v>
      </c>
      <c r="Y25" s="25">
        <f t="shared" ref="Y25:AA25" si="13">SUM(X25-547846)*$AB$25+547846</f>
        <v>10056571.961875001</v>
      </c>
      <c r="Z25" s="25">
        <f t="shared" si="13"/>
        <v>10532008.259968752</v>
      </c>
      <c r="AA25" s="25">
        <f t="shared" si="13"/>
        <v>11031216.372967189</v>
      </c>
      <c r="AB25" s="61">
        <v>1.05</v>
      </c>
      <c r="AC25" s="43"/>
      <c r="AD25" s="44">
        <f t="shared" ref="AD25:AD33" si="14">SUM(V25/($V$34))</f>
        <v>0.49378031616028112</v>
      </c>
      <c r="AE25" s="44">
        <f t="shared" ref="AE25:AE33" si="15">SUM(W25/($W$34))</f>
        <v>0.49923203106376896</v>
      </c>
      <c r="AF25" s="44">
        <f t="shared" ref="AF25:AF33" si="16">SUM(X25/($X$34))</f>
        <v>0.49709872569933256</v>
      </c>
      <c r="AG25" s="44">
        <f t="shared" ref="AG25:AG33" si="17">SUM(Y25/($Y$34))</f>
        <v>0.5090490500171686</v>
      </c>
    </row>
    <row r="26" spans="1:33" s="24" customFormat="1" ht="15.6" customHeight="1">
      <c r="A26" s="5">
        <v>12</v>
      </c>
      <c r="B26" s="24" t="s">
        <v>37</v>
      </c>
      <c r="C26" s="25">
        <v>1229000</v>
      </c>
      <c r="D26" s="25">
        <v>1347000</v>
      </c>
      <c r="E26" s="25">
        <v>1502000</v>
      </c>
      <c r="F26" s="25">
        <v>1735000</v>
      </c>
      <c r="G26" s="25">
        <v>2060000</v>
      </c>
      <c r="H26" s="25">
        <v>2241000</v>
      </c>
      <c r="I26" s="25">
        <v>2490000</v>
      </c>
      <c r="J26" s="25">
        <v>2516000</v>
      </c>
      <c r="K26" s="25">
        <v>2638000</v>
      </c>
      <c r="L26" s="25">
        <v>2625000</v>
      </c>
      <c r="M26" s="25">
        <v>2767548</v>
      </c>
      <c r="N26" s="25">
        <v>2821724</v>
      </c>
      <c r="O26" s="25">
        <v>2464823.69</v>
      </c>
      <c r="P26" s="25">
        <v>2548996.11</v>
      </c>
      <c r="Q26" s="25">
        <v>2493811.04</v>
      </c>
      <c r="R26" s="40"/>
      <c r="S26" s="25">
        <v>2612400.29</v>
      </c>
      <c r="T26" s="25">
        <v>2620657.4700000002</v>
      </c>
      <c r="U26" s="40"/>
      <c r="V26" s="25">
        <v>2671426.88</v>
      </c>
      <c r="W26" s="25">
        <v>2915758</v>
      </c>
      <c r="X26" s="25">
        <f>SUM(W26*AB26)</f>
        <v>3061545.9</v>
      </c>
      <c r="Y26" s="25">
        <f>SUM(X26*AB26)</f>
        <v>3214623.1949999998</v>
      </c>
      <c r="Z26" s="25">
        <f t="shared" ref="Z26:Z28" si="18">SUM(Y26*AB26)</f>
        <v>3375354.3547499999</v>
      </c>
      <c r="AA26" s="25">
        <f>SUM(Z26*AB26)</f>
        <v>3544122.0724875</v>
      </c>
      <c r="AB26" s="61">
        <v>1.05</v>
      </c>
      <c r="AD26" s="44">
        <f t="shared" si="14"/>
        <v>0.15589517205236589</v>
      </c>
      <c r="AE26" s="44">
        <f t="shared" si="15"/>
        <v>0.15869537439018003</v>
      </c>
      <c r="AF26" s="44">
        <f t="shared" si="16"/>
        <v>0.15846794498068656</v>
      </c>
      <c r="AG26" s="44">
        <f t="shared" si="17"/>
        <v>0.16271955192898616</v>
      </c>
    </row>
    <row r="27" spans="1:33" s="24" customFormat="1" ht="15.6" customHeight="1">
      <c r="A27" s="5">
        <v>13</v>
      </c>
      <c r="B27" s="24" t="s">
        <v>38</v>
      </c>
      <c r="C27" s="25">
        <v>815000</v>
      </c>
      <c r="D27" s="25">
        <v>912000</v>
      </c>
      <c r="E27" s="25">
        <v>826000</v>
      </c>
      <c r="F27" s="25">
        <v>864000</v>
      </c>
      <c r="G27" s="25">
        <v>888000</v>
      </c>
      <c r="H27" s="25">
        <v>1412000</v>
      </c>
      <c r="I27" s="25">
        <v>1191000</v>
      </c>
      <c r="J27" s="25">
        <v>1276000</v>
      </c>
      <c r="K27" s="25">
        <v>1335000</v>
      </c>
      <c r="L27" s="25">
        <v>1328000</v>
      </c>
      <c r="M27" s="25">
        <v>1524702</v>
      </c>
      <c r="N27" s="25">
        <v>1561183</v>
      </c>
      <c r="O27" s="25">
        <v>1673861.56</v>
      </c>
      <c r="P27" s="25">
        <v>1672894.38</v>
      </c>
      <c r="Q27" s="25">
        <v>1762155.51</v>
      </c>
      <c r="R27" s="40"/>
      <c r="S27" s="25">
        <v>2027032.57</v>
      </c>
      <c r="T27" s="25">
        <v>1908585.71</v>
      </c>
      <c r="U27" s="40"/>
      <c r="V27" s="25">
        <v>1681673.13</v>
      </c>
      <c r="W27" s="25">
        <v>1996350</v>
      </c>
      <c r="X27" s="25">
        <f>SUM(W27*AB27)</f>
        <v>2036277</v>
      </c>
      <c r="Y27" s="25">
        <f>SUM(X27*AB27)</f>
        <v>2077002.54</v>
      </c>
      <c r="Z27" s="25">
        <f t="shared" si="18"/>
        <v>2118542.5907999999</v>
      </c>
      <c r="AA27" s="25">
        <f>SUM(Z27*AB27)</f>
        <v>2160913.4426159998</v>
      </c>
      <c r="AB27" s="61">
        <v>1.02</v>
      </c>
      <c r="AD27" s="44">
        <f t="shared" si="14"/>
        <v>9.8136589064040047E-2</v>
      </c>
      <c r="AE27" s="44">
        <f t="shared" si="15"/>
        <v>0.10865494004092106</v>
      </c>
      <c r="AF27" s="44">
        <f t="shared" si="16"/>
        <v>0.10539924670129475</v>
      </c>
      <c r="AG27" s="44">
        <f t="shared" si="17"/>
        <v>0.10513484852278811</v>
      </c>
    </row>
    <row r="28" spans="1:33" s="24" customFormat="1" ht="15.6" customHeight="1">
      <c r="A28" s="5">
        <v>14</v>
      </c>
      <c r="B28" s="24" t="s">
        <v>39</v>
      </c>
      <c r="C28" s="25">
        <v>654000</v>
      </c>
      <c r="D28" s="25">
        <v>575000</v>
      </c>
      <c r="E28" s="25">
        <v>646000</v>
      </c>
      <c r="F28" s="25">
        <v>578000</v>
      </c>
      <c r="G28" s="25">
        <v>608000</v>
      </c>
      <c r="H28" s="25">
        <v>763000</v>
      </c>
      <c r="I28" s="25">
        <v>843000</v>
      </c>
      <c r="J28" s="25">
        <v>1000000</v>
      </c>
      <c r="K28" s="25">
        <v>807000</v>
      </c>
      <c r="L28" s="25">
        <v>738000</v>
      </c>
      <c r="M28" s="25">
        <v>646746</v>
      </c>
      <c r="N28" s="25">
        <v>687219</v>
      </c>
      <c r="O28" s="25">
        <v>725427.5</v>
      </c>
      <c r="P28" s="25">
        <v>731603.08</v>
      </c>
      <c r="Q28" s="25">
        <v>940808.78</v>
      </c>
      <c r="R28" s="40"/>
      <c r="S28" s="25">
        <v>653685.56999999995</v>
      </c>
      <c r="T28" s="25">
        <v>764042.76</v>
      </c>
      <c r="U28" s="40"/>
      <c r="V28" s="25">
        <v>694697.17</v>
      </c>
      <c r="W28" s="25">
        <v>892689</v>
      </c>
      <c r="X28" s="25">
        <f>SUM(W28*AB28)</f>
        <v>910542.78</v>
      </c>
      <c r="Y28" s="25">
        <f>SUM(X28*AB28)</f>
        <v>928753.63560000004</v>
      </c>
      <c r="Z28" s="25">
        <f t="shared" si="18"/>
        <v>947328.70831200003</v>
      </c>
      <c r="AA28" s="25">
        <f>SUM(Z28*AB28)</f>
        <v>966275.28247824009</v>
      </c>
      <c r="AB28" s="61">
        <v>1.02</v>
      </c>
      <c r="AD28" s="44">
        <f t="shared" si="14"/>
        <v>4.0540108229142953E-2</v>
      </c>
      <c r="AE28" s="44">
        <f t="shared" si="15"/>
        <v>4.8586204708688248E-2</v>
      </c>
      <c r="AF28" s="44">
        <f t="shared" si="16"/>
        <v>4.7130387025587757E-2</v>
      </c>
      <c r="AG28" s="44">
        <f t="shared" si="17"/>
        <v>4.7012158585898862E-2</v>
      </c>
    </row>
    <row r="29" spans="1:33" s="24" customFormat="1" ht="15.6" customHeight="1">
      <c r="A29" s="5">
        <v>15</v>
      </c>
      <c r="B29" s="24" t="s">
        <v>40</v>
      </c>
      <c r="C29" s="25">
        <v>579000</v>
      </c>
      <c r="D29" s="25">
        <v>86000</v>
      </c>
      <c r="E29" s="25">
        <v>136000</v>
      </c>
      <c r="F29" s="25">
        <v>44000</v>
      </c>
      <c r="G29" s="25">
        <v>68000</v>
      </c>
      <c r="H29" s="25">
        <v>229000</v>
      </c>
      <c r="I29" s="25">
        <v>312000</v>
      </c>
      <c r="J29" s="25">
        <v>90000</v>
      </c>
      <c r="K29" s="25">
        <v>157000</v>
      </c>
      <c r="L29" s="25">
        <v>91000</v>
      </c>
      <c r="M29" s="25">
        <v>151886</v>
      </c>
      <c r="N29" s="25">
        <v>120459</v>
      </c>
      <c r="O29" s="25">
        <v>251565.53</v>
      </c>
      <c r="P29" s="25">
        <v>157954.93</v>
      </c>
      <c r="Q29" s="25">
        <v>412322.07</v>
      </c>
      <c r="R29" s="40"/>
      <c r="S29" s="25">
        <v>1267377.68</v>
      </c>
      <c r="T29" s="25">
        <v>1088657.19</v>
      </c>
      <c r="U29" s="40"/>
      <c r="V29" s="25">
        <v>218996.62</v>
      </c>
      <c r="W29" s="25">
        <v>219661</v>
      </c>
      <c r="X29" s="25">
        <f>SUM(W29*AB29)+250000</f>
        <v>474054.22</v>
      </c>
      <c r="Y29" s="25">
        <f>SUM(W29*1.02)*AB29</f>
        <v>228535.30439999999</v>
      </c>
      <c r="Z29" s="25">
        <f>SUM(Y29*AB29)</f>
        <v>233106.010488</v>
      </c>
      <c r="AA29" s="25">
        <f>SUM(Z29*AB29)</f>
        <v>237768.13069776</v>
      </c>
      <c r="AB29" s="61">
        <v>1.02</v>
      </c>
      <c r="AD29" s="44">
        <f t="shared" si="14"/>
        <v>1.2779880298945929E-2</v>
      </c>
      <c r="AE29" s="44">
        <f t="shared" si="15"/>
        <v>1.1955445079434348E-2</v>
      </c>
      <c r="AF29" s="44">
        <f t="shared" si="16"/>
        <v>2.4537407083402629E-2</v>
      </c>
      <c r="AG29" s="44">
        <f t="shared" si="17"/>
        <v>1.1568124808457514E-2</v>
      </c>
    </row>
    <row r="30" spans="1:33" s="24" customFormat="1" ht="15.6" customHeight="1">
      <c r="A30" s="5">
        <v>16</v>
      </c>
      <c r="B30" s="24" t="s">
        <v>41</v>
      </c>
      <c r="C30" s="25">
        <v>283000</v>
      </c>
      <c r="D30" s="25">
        <v>457000</v>
      </c>
      <c r="E30" s="25">
        <v>443000</v>
      </c>
      <c r="F30" s="25">
        <v>573000</v>
      </c>
      <c r="G30" s="25">
        <v>843000</v>
      </c>
      <c r="H30" s="25">
        <v>835000</v>
      </c>
      <c r="I30" s="25">
        <v>796000</v>
      </c>
      <c r="J30" s="25">
        <v>972000</v>
      </c>
      <c r="K30" s="25">
        <v>874000</v>
      </c>
      <c r="L30" s="25">
        <v>918000</v>
      </c>
      <c r="M30" s="25">
        <v>875214</v>
      </c>
      <c r="N30" s="25">
        <v>634186</v>
      </c>
      <c r="O30" s="25">
        <v>678165</v>
      </c>
      <c r="P30" s="25">
        <f>SUM(3021840.43-1166122.51-1225000)</f>
        <v>630717.92000000016</v>
      </c>
      <c r="Q30" s="25">
        <f>SUM(4274105.83-Q31-Q39)</f>
        <v>809043.15</v>
      </c>
      <c r="R30" s="40"/>
      <c r="S30" s="25">
        <v>643125.06999999995</v>
      </c>
      <c r="T30" s="25">
        <f>SUM(130048.26+7500.79+7466+4204.42+225+989+999.65+12692+18841+273287.26+198174.95)</f>
        <v>654428.33000000007</v>
      </c>
      <c r="U30" s="40"/>
      <c r="V30" s="25">
        <v>395188.16</v>
      </c>
      <c r="W30" s="25">
        <v>549978</v>
      </c>
      <c r="X30" s="25">
        <f>SUM(W30*AB30)</f>
        <v>560977.56000000006</v>
      </c>
      <c r="Y30" s="25">
        <f>SUM(X30*AB30)</f>
        <v>572197.11120000004</v>
      </c>
      <c r="Z30" s="25">
        <f>SUM(Y30*AB30)</f>
        <v>583641.05342400004</v>
      </c>
      <c r="AA30" s="25">
        <f>SUM(Z30*AB30)</f>
        <v>595313.87449248007</v>
      </c>
      <c r="AB30" s="61">
        <v>1.02</v>
      </c>
      <c r="AD30" s="44">
        <f t="shared" si="14"/>
        <v>2.3061805156448036E-2</v>
      </c>
      <c r="AE30" s="44">
        <f t="shared" si="15"/>
        <v>2.993354202110135E-2</v>
      </c>
      <c r="AF30" s="44">
        <f t="shared" si="16"/>
        <v>2.9036625292300795E-2</v>
      </c>
      <c r="AG30" s="44">
        <f t="shared" si="17"/>
        <v>2.896378576946225E-2</v>
      </c>
    </row>
    <row r="31" spans="1:33" s="24" customFormat="1" ht="15.6" customHeight="1">
      <c r="A31" s="5">
        <v>17</v>
      </c>
      <c r="B31" s="24" t="s">
        <v>42</v>
      </c>
      <c r="C31" s="25">
        <v>878000</v>
      </c>
      <c r="D31" s="25">
        <v>893000</v>
      </c>
      <c r="E31" s="25">
        <v>2080000</v>
      </c>
      <c r="F31" s="25">
        <v>1096000</v>
      </c>
      <c r="G31" s="25">
        <v>1719000</v>
      </c>
      <c r="H31" s="25">
        <v>1835000</v>
      </c>
      <c r="I31" s="25">
        <v>2168000</v>
      </c>
      <c r="J31" s="25">
        <v>2160000</v>
      </c>
      <c r="K31" s="25">
        <v>2170000</v>
      </c>
      <c r="L31" s="25">
        <v>2956000</v>
      </c>
      <c r="M31" s="25">
        <v>2291729</v>
      </c>
      <c r="N31" s="25">
        <v>2295200</v>
      </c>
      <c r="O31" s="25">
        <f>SUM(1171549.61+1070000)</f>
        <v>2241549.6100000003</v>
      </c>
      <c r="P31" s="25">
        <f>SUM(1166122.51+1225000)</f>
        <v>2391122.5099999998</v>
      </c>
      <c r="Q31" s="25">
        <f>SUM(1664000+1153345.06)</f>
        <v>2817345.06</v>
      </c>
      <c r="R31" s="40"/>
      <c r="S31" s="25">
        <f>SUM(1096013.76+1445000)</f>
        <v>2541013.7599999998</v>
      </c>
      <c r="T31" s="25">
        <f>SUM(1179093.12+1312557.6)</f>
        <v>2491650.7200000002</v>
      </c>
      <c r="U31" s="40"/>
      <c r="V31" s="25">
        <f>SUM(1315449.96+1369070.05)</f>
        <v>2684520.01</v>
      </c>
      <c r="W31" s="25">
        <v>2626325</v>
      </c>
      <c r="X31" s="25">
        <f>SUM(2189196.88+483284.38)</f>
        <v>2672481.2599999998</v>
      </c>
      <c r="Y31" s="25">
        <f>SUM(2223284.38+454636.88)</f>
        <v>2677921.2599999998</v>
      </c>
      <c r="Z31" s="25">
        <f>SUM(2324636.88+419350.63)</f>
        <v>2743987.51</v>
      </c>
      <c r="AA31" s="25">
        <f>SUM(2389350.63+378093.13)</f>
        <v>2767443.76</v>
      </c>
      <c r="AB31" s="59"/>
      <c r="AD31" s="44">
        <f t="shared" si="14"/>
        <v>0.15665924153498409</v>
      </c>
      <c r="AE31" s="44">
        <f t="shared" si="15"/>
        <v>0.14294246269590602</v>
      </c>
      <c r="AF31" s="44">
        <f t="shared" si="16"/>
        <v>0.13832966321739479</v>
      </c>
      <c r="AG31" s="44">
        <f t="shared" si="17"/>
        <v>0.13555248036723819</v>
      </c>
    </row>
    <row r="32" spans="1:33" s="24" customFormat="1" ht="15.6" customHeight="1">
      <c r="A32" s="5">
        <v>18</v>
      </c>
      <c r="B32" s="24" t="s">
        <v>43</v>
      </c>
      <c r="C32" s="25">
        <v>72000</v>
      </c>
      <c r="D32" s="25">
        <v>74000</v>
      </c>
      <c r="E32" s="25">
        <v>34000</v>
      </c>
      <c r="F32" s="25">
        <v>48000</v>
      </c>
      <c r="G32" s="25">
        <v>37000</v>
      </c>
      <c r="H32" s="25">
        <v>264000</v>
      </c>
      <c r="I32" s="25">
        <v>39000</v>
      </c>
      <c r="J32" s="25">
        <v>59000</v>
      </c>
      <c r="K32" s="25">
        <v>49000</v>
      </c>
      <c r="L32" s="25">
        <v>172000</v>
      </c>
      <c r="M32" s="25">
        <v>184641</v>
      </c>
      <c r="N32" s="25">
        <v>31476</v>
      </c>
      <c r="O32" s="25">
        <f>SUM(7162853.07-O30-O31-O33)</f>
        <v>17602.459999999963</v>
      </c>
      <c r="P32" s="25">
        <v>0</v>
      </c>
      <c r="Q32" s="25">
        <f>SUM(88784.76+101560.08+26915.77+430457.01)</f>
        <v>647717.62</v>
      </c>
      <c r="R32" s="40"/>
      <c r="S32" s="25">
        <v>1617075.28</v>
      </c>
      <c r="T32" s="25">
        <f>+T39</f>
        <v>1207759.1500000001</v>
      </c>
      <c r="U32" s="40"/>
      <c r="V32" s="25">
        <f>+V39</f>
        <v>328093.49</v>
      </c>
      <c r="W32" s="25">
        <f>SUM(W39)</f>
        <v>0</v>
      </c>
      <c r="X32" s="25">
        <f>SUM(X39)</f>
        <v>0</v>
      </c>
      <c r="Y32" s="25">
        <f>SUM(Y39)</f>
        <v>0</v>
      </c>
      <c r="Z32" s="25">
        <f t="shared" ref="Z32:AA32" si="19">SUM(Z39)</f>
        <v>0</v>
      </c>
      <c r="AA32" s="25">
        <f t="shared" si="19"/>
        <v>0</v>
      </c>
      <c r="AB32" s="59"/>
      <c r="AD32" s="44">
        <f t="shared" si="14"/>
        <v>1.9146393807646041E-2</v>
      </c>
      <c r="AE32" s="44">
        <f t="shared" si="15"/>
        <v>0</v>
      </c>
      <c r="AF32" s="44">
        <f t="shared" si="16"/>
        <v>0</v>
      </c>
      <c r="AG32" s="44">
        <f t="shared" si="17"/>
        <v>0</v>
      </c>
    </row>
    <row r="33" spans="1:33" s="24" customFormat="1" ht="15.6" customHeight="1">
      <c r="A33" s="5">
        <v>19</v>
      </c>
      <c r="B33" s="26" t="s">
        <v>44</v>
      </c>
      <c r="C33" s="25"/>
      <c r="D33" s="25"/>
      <c r="E33" s="25"/>
      <c r="F33" s="25"/>
      <c r="G33" s="25"/>
      <c r="H33" s="25"/>
      <c r="I33" s="25"/>
      <c r="J33" s="25"/>
      <c r="K33" s="25">
        <v>0</v>
      </c>
      <c r="L33" s="25">
        <v>0</v>
      </c>
      <c r="M33" s="25">
        <v>0</v>
      </c>
      <c r="N33" s="25">
        <v>0</v>
      </c>
      <c r="O33" s="25">
        <f>SUM(53700+4171836)</f>
        <v>4225536</v>
      </c>
      <c r="P33" s="25">
        <v>0</v>
      </c>
      <c r="Q33" s="25">
        <v>0</v>
      </c>
      <c r="R33" s="40"/>
      <c r="S33" s="25">
        <v>0</v>
      </c>
      <c r="T33" s="25">
        <f>SUM(6017375.39+28521.8)</f>
        <v>6045897.1899999995</v>
      </c>
      <c r="U33" s="40"/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59"/>
      <c r="AD33" s="44">
        <f t="shared" si="14"/>
        <v>0</v>
      </c>
      <c r="AE33" s="44">
        <f t="shared" si="15"/>
        <v>0</v>
      </c>
      <c r="AF33" s="44">
        <f t="shared" si="16"/>
        <v>0</v>
      </c>
      <c r="AG33" s="44">
        <f t="shared" si="17"/>
        <v>0</v>
      </c>
    </row>
    <row r="34" spans="1:33" s="24" customFormat="1" ht="16.7" customHeight="1" thickBot="1">
      <c r="A34" s="5">
        <v>20</v>
      </c>
      <c r="B34" s="28" t="s">
        <v>45</v>
      </c>
      <c r="C34" s="29">
        <f t="shared" ref="C34:J34" si="20">SUM(C25:C32)</f>
        <v>10992000</v>
      </c>
      <c r="D34" s="29">
        <f t="shared" si="20"/>
        <v>11293000</v>
      </c>
      <c r="E34" s="29">
        <f t="shared" si="20"/>
        <v>13010000</v>
      </c>
      <c r="F34" s="29">
        <f t="shared" si="20"/>
        <v>12789000</v>
      </c>
      <c r="G34" s="29">
        <f t="shared" si="20"/>
        <v>14229000</v>
      </c>
      <c r="H34" s="29">
        <f t="shared" si="20"/>
        <v>15922000</v>
      </c>
      <c r="I34" s="29">
        <f t="shared" si="20"/>
        <v>16280000</v>
      </c>
      <c r="J34" s="29">
        <f t="shared" si="20"/>
        <v>16823000</v>
      </c>
      <c r="K34" s="29">
        <f t="shared" ref="K34:Q34" si="21">SUM(K25:K33)</f>
        <v>17277000</v>
      </c>
      <c r="L34" s="29">
        <f t="shared" si="21"/>
        <v>17846000</v>
      </c>
      <c r="M34" s="29">
        <f t="shared" si="21"/>
        <v>17674147</v>
      </c>
      <c r="N34" s="29">
        <f t="shared" si="21"/>
        <v>16243609</v>
      </c>
      <c r="O34" s="29">
        <f t="shared" si="21"/>
        <v>20273159.650000002</v>
      </c>
      <c r="P34" s="29">
        <f t="shared" si="21"/>
        <v>16288236.199999997</v>
      </c>
      <c r="Q34" s="29">
        <f t="shared" si="21"/>
        <v>18100246.289999999</v>
      </c>
      <c r="R34" s="41"/>
      <c r="S34" s="29">
        <f t="shared" ref="S34:Z34" si="22">SUM(S25:S32)</f>
        <v>19761275.240000002</v>
      </c>
      <c r="T34" s="29">
        <f>SUM(T25:T33)</f>
        <v>24838397.219999999</v>
      </c>
      <c r="U34" s="41"/>
      <c r="V34" s="29">
        <f>SUM(V25:V32)+8.46</f>
        <v>17136046.259999994</v>
      </c>
      <c r="W34" s="29">
        <f t="shared" si="22"/>
        <v>18373301.75</v>
      </c>
      <c r="X34" s="29">
        <f t="shared" si="22"/>
        <v>19319654.207500003</v>
      </c>
      <c r="Y34" s="29">
        <f t="shared" si="22"/>
        <v>19755605.008075006</v>
      </c>
      <c r="Z34" s="29">
        <f t="shared" si="22"/>
        <v>20533968.487742752</v>
      </c>
      <c r="AA34" s="29">
        <f t="shared" ref="AA34" si="23">SUM(AA25:AA32)</f>
        <v>21303052.935739167</v>
      </c>
      <c r="AB34" s="59"/>
      <c r="AD34" s="44"/>
      <c r="AE34" s="44"/>
    </row>
    <row r="35" spans="1:33" s="24" customFormat="1" ht="6.75" customHeight="1" thickTop="1">
      <c r="A35" s="5"/>
      <c r="B35" s="2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0"/>
      <c r="S35" s="25"/>
      <c r="T35" s="25"/>
      <c r="U35" s="40"/>
      <c r="V35" s="25"/>
      <c r="W35" s="25"/>
      <c r="X35" s="25"/>
      <c r="Y35" s="25"/>
      <c r="Z35" s="25"/>
      <c r="AA35" s="25"/>
      <c r="AB35" s="59"/>
      <c r="AD35" s="44"/>
      <c r="AE35" s="44"/>
    </row>
    <row r="36" spans="1:33" s="28" customFormat="1" ht="18" customHeight="1">
      <c r="A36" s="5">
        <v>21</v>
      </c>
      <c r="B36" s="30" t="s">
        <v>46</v>
      </c>
      <c r="C36" s="31">
        <f t="shared" ref="C36:AA36" si="24">C22-C34</f>
        <v>-194000</v>
      </c>
      <c r="D36" s="31">
        <f t="shared" si="24"/>
        <v>-861000</v>
      </c>
      <c r="E36" s="31">
        <f t="shared" si="24"/>
        <v>-2144000</v>
      </c>
      <c r="F36" s="31">
        <f t="shared" si="24"/>
        <v>-1145000</v>
      </c>
      <c r="G36" s="31">
        <f t="shared" si="24"/>
        <v>-2005000</v>
      </c>
      <c r="H36" s="31">
        <f t="shared" si="24"/>
        <v>-3156000</v>
      </c>
      <c r="I36" s="31">
        <f t="shared" si="24"/>
        <v>-364000</v>
      </c>
      <c r="J36" s="31">
        <f t="shared" si="24"/>
        <v>-2430000</v>
      </c>
      <c r="K36" s="31">
        <f t="shared" si="24"/>
        <v>-1706000</v>
      </c>
      <c r="L36" s="31">
        <f t="shared" si="24"/>
        <v>-1225000</v>
      </c>
      <c r="M36" s="31">
        <f t="shared" si="24"/>
        <v>-425613</v>
      </c>
      <c r="N36" s="31">
        <f t="shared" si="24"/>
        <v>84377</v>
      </c>
      <c r="O36" s="31">
        <f t="shared" si="24"/>
        <v>68354.39999999851</v>
      </c>
      <c r="P36" s="31">
        <f t="shared" si="24"/>
        <v>225382.62000000104</v>
      </c>
      <c r="Q36" s="31">
        <f t="shared" si="24"/>
        <v>-546403.85000000149</v>
      </c>
      <c r="R36" s="42"/>
      <c r="S36" s="31">
        <f t="shared" si="24"/>
        <v>-2812500.4100000039</v>
      </c>
      <c r="T36" s="31">
        <f t="shared" si="24"/>
        <v>-1577262.5</v>
      </c>
      <c r="U36" s="42"/>
      <c r="V36" s="31">
        <f t="shared" si="24"/>
        <v>1696714.7600000054</v>
      </c>
      <c r="W36" s="31">
        <f t="shared" si="24"/>
        <v>247616.37000000104</v>
      </c>
      <c r="X36" s="31">
        <f t="shared" si="24"/>
        <v>-749408.20600000024</v>
      </c>
      <c r="Y36" s="31">
        <f t="shared" si="24"/>
        <v>-910073.07363750786</v>
      </c>
      <c r="Z36" s="31">
        <f t="shared" si="24"/>
        <v>-1344186.1170663163</v>
      </c>
      <c r="AA36" s="31">
        <f t="shared" si="24"/>
        <v>-1804149.8602152616</v>
      </c>
      <c r="AB36" s="63"/>
      <c r="AD36" s="46"/>
      <c r="AE36" s="46"/>
    </row>
    <row r="37" spans="1:33" s="24" customFormat="1" ht="6.75" customHeight="1">
      <c r="A37" s="5"/>
      <c r="B37" s="28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0"/>
      <c r="S37" s="25"/>
      <c r="T37" s="25"/>
      <c r="U37" s="40"/>
      <c r="V37" s="25"/>
      <c r="W37" s="25"/>
      <c r="X37" s="25"/>
      <c r="Y37" s="25"/>
      <c r="Z37" s="25"/>
      <c r="AA37" s="25"/>
      <c r="AB37" s="59"/>
      <c r="AD37" s="44"/>
      <c r="AE37" s="44"/>
    </row>
    <row r="38" spans="1:33" s="28" customFormat="1" ht="12.75">
      <c r="A38" s="5">
        <v>22</v>
      </c>
      <c r="B38" s="24" t="s">
        <v>47</v>
      </c>
      <c r="C38" s="25"/>
      <c r="D38" s="25">
        <v>2000000</v>
      </c>
      <c r="E38" s="25"/>
      <c r="F38" s="25">
        <v>15329000</v>
      </c>
      <c r="G38" s="25"/>
      <c r="H38" s="25">
        <v>3740000</v>
      </c>
      <c r="I38" s="25"/>
      <c r="J38" s="25"/>
      <c r="K38" s="25">
        <v>7000000</v>
      </c>
      <c r="L38" s="25"/>
      <c r="M38" s="25"/>
      <c r="N38" s="25"/>
      <c r="O38" s="25"/>
      <c r="P38" s="25"/>
      <c r="Q38" s="25">
        <v>446500</v>
      </c>
      <c r="R38" s="40"/>
      <c r="S38" s="25"/>
      <c r="T38" s="25">
        <v>3790000</v>
      </c>
      <c r="U38" s="40"/>
      <c r="V38" s="25"/>
      <c r="W38" s="25"/>
      <c r="X38" s="25"/>
      <c r="Y38" s="25"/>
      <c r="Z38" s="25"/>
      <c r="AA38" s="25"/>
      <c r="AB38" s="63"/>
      <c r="AD38" s="46"/>
      <c r="AE38" s="46"/>
    </row>
    <row r="39" spans="1:33" s="28" customFormat="1" ht="12.75">
      <c r="A39" s="5">
        <v>23</v>
      </c>
      <c r="B39" s="24" t="s">
        <v>48</v>
      </c>
      <c r="C39" s="25"/>
      <c r="D39" s="25"/>
      <c r="E39" s="25"/>
      <c r="F39" s="25"/>
      <c r="G39" s="25"/>
      <c r="H39" s="25">
        <v>12986000</v>
      </c>
      <c r="I39" s="25">
        <v>1443000</v>
      </c>
      <c r="J39" s="25"/>
      <c r="K39" s="25"/>
      <c r="L39" s="25"/>
      <c r="M39" s="25"/>
      <c r="N39" s="25"/>
      <c r="O39" s="25"/>
      <c r="P39" s="25"/>
      <c r="Q39" s="25">
        <f>SUM(88784.76+101560.08+26915.77+430457.01)</f>
        <v>647717.62</v>
      </c>
      <c r="R39" s="40"/>
      <c r="S39" s="25">
        <v>1617075.28</v>
      </c>
      <c r="T39" s="25">
        <f>SUM(207410.19+490397.69+13511+428697.91+67742.36)</f>
        <v>1207759.1500000001</v>
      </c>
      <c r="U39" s="40"/>
      <c r="V39" s="25">
        <v>328093.49</v>
      </c>
      <c r="W39" s="25">
        <v>0</v>
      </c>
      <c r="X39" s="25">
        <f>+W39</f>
        <v>0</v>
      </c>
      <c r="Y39" s="25">
        <f>+X39</f>
        <v>0</v>
      </c>
      <c r="Z39" s="25">
        <f>+Y39</f>
        <v>0</v>
      </c>
      <c r="AA39" s="25">
        <f>+Z39</f>
        <v>0</v>
      </c>
      <c r="AB39" s="63"/>
      <c r="AD39" s="46"/>
      <c r="AE39" s="46"/>
    </row>
    <row r="40" spans="1:33" s="28" customFormat="1" ht="12.75">
      <c r="A40" s="5">
        <v>24</v>
      </c>
      <c r="B40" s="24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>
        <v>454773.21</v>
      </c>
      <c r="R40" s="40"/>
      <c r="S40" s="25"/>
      <c r="T40" s="25"/>
      <c r="U40" s="40"/>
      <c r="V40" s="25"/>
      <c r="W40" s="25"/>
      <c r="X40" s="25"/>
      <c r="Y40" s="25"/>
      <c r="Z40" s="25"/>
      <c r="AA40" s="25"/>
      <c r="AB40" s="63"/>
      <c r="AD40" s="46"/>
      <c r="AE40" s="46"/>
    </row>
    <row r="41" spans="1:33" s="28" customFormat="1" ht="12.75">
      <c r="A41" s="5">
        <v>25</v>
      </c>
      <c r="B41" s="24" t="s">
        <v>50</v>
      </c>
      <c r="C41" s="25"/>
      <c r="D41" s="25"/>
      <c r="E41" s="25"/>
      <c r="F41" s="25"/>
      <c r="G41" s="25"/>
      <c r="H41" s="25"/>
      <c r="I41" s="25">
        <v>1135000</v>
      </c>
      <c r="J41" s="25"/>
      <c r="K41" s="25"/>
      <c r="L41" s="25">
        <v>200000</v>
      </c>
      <c r="M41" s="25">
        <v>200000</v>
      </c>
      <c r="N41" s="25">
        <v>200000</v>
      </c>
      <c r="O41" s="25">
        <v>200000</v>
      </c>
      <c r="P41" s="25">
        <v>200000</v>
      </c>
      <c r="Q41" s="25"/>
      <c r="R41" s="40"/>
      <c r="S41" s="25"/>
      <c r="T41" s="25"/>
      <c r="U41" s="40"/>
      <c r="V41" s="25"/>
      <c r="W41" s="25"/>
      <c r="X41" s="25"/>
      <c r="Y41" s="25"/>
      <c r="Z41" s="25"/>
      <c r="AA41" s="25"/>
      <c r="AB41" s="63"/>
      <c r="AD41" s="46"/>
      <c r="AE41" s="46"/>
    </row>
    <row r="42" spans="1:33" s="28" customFormat="1" ht="12.75">
      <c r="A42" s="5">
        <v>26</v>
      </c>
      <c r="B42" s="24" t="s">
        <v>43</v>
      </c>
      <c r="C42" s="25"/>
      <c r="D42" s="25">
        <v>-1653000</v>
      </c>
      <c r="E42" s="25"/>
      <c r="F42" s="25">
        <v>-2958000</v>
      </c>
      <c r="G42" s="25">
        <v>-2654000</v>
      </c>
      <c r="H42" s="25">
        <v>-17350000</v>
      </c>
      <c r="I42" s="25">
        <v>-3936000</v>
      </c>
      <c r="J42" s="25">
        <v>-465000</v>
      </c>
      <c r="K42" s="25"/>
      <c r="L42" s="25"/>
      <c r="M42" s="25"/>
      <c r="N42" s="25"/>
      <c r="O42" s="25"/>
      <c r="P42" s="25"/>
      <c r="Q42" s="25"/>
      <c r="R42" s="40"/>
      <c r="S42" s="25"/>
      <c r="T42" s="25"/>
      <c r="U42" s="40"/>
      <c r="V42" s="25"/>
      <c r="W42" s="25"/>
      <c r="X42" s="25"/>
      <c r="Y42" s="25"/>
      <c r="Z42" s="25"/>
      <c r="AA42" s="25"/>
      <c r="AB42" s="63"/>
      <c r="AD42" s="46"/>
      <c r="AE42" s="46"/>
    </row>
    <row r="43" spans="1:33" s="24" customFormat="1" ht="18" customHeight="1">
      <c r="A43" s="5">
        <v>27</v>
      </c>
      <c r="B43" s="32" t="s">
        <v>51</v>
      </c>
      <c r="C43" s="31">
        <f t="shared" ref="C43:N43" si="25">C13+C22-C34+C38+C39+C41+C42</f>
        <v>7795000</v>
      </c>
      <c r="D43" s="31">
        <f t="shared" si="25"/>
        <v>7281000</v>
      </c>
      <c r="E43" s="31">
        <f t="shared" si="25"/>
        <v>5137000</v>
      </c>
      <c r="F43" s="31">
        <f t="shared" si="25"/>
        <v>16363000</v>
      </c>
      <c r="G43" s="31">
        <f t="shared" si="25"/>
        <v>11704000</v>
      </c>
      <c r="H43" s="31">
        <f t="shared" si="25"/>
        <v>7924000</v>
      </c>
      <c r="I43" s="31">
        <f t="shared" si="25"/>
        <v>6202000</v>
      </c>
      <c r="J43" s="31">
        <f t="shared" si="25"/>
        <v>3307000</v>
      </c>
      <c r="K43" s="31">
        <f t="shared" si="25"/>
        <v>8601000</v>
      </c>
      <c r="L43" s="31">
        <f t="shared" si="25"/>
        <v>7576000</v>
      </c>
      <c r="M43" s="31">
        <f t="shared" si="25"/>
        <v>7350387</v>
      </c>
      <c r="N43" s="31">
        <f t="shared" si="25"/>
        <v>7634764</v>
      </c>
      <c r="O43" s="31">
        <f>O13+O22-O34+O38+O39+O41+O42+9287</f>
        <v>7912299.4299999997</v>
      </c>
      <c r="P43" s="31">
        <f>P13+P22-P34+P38+P39+P40+P41+P42-3598</f>
        <v>8334084.0500000026</v>
      </c>
      <c r="Q43" s="31">
        <f>Q13+Q22-Q34+Q38+Q39+Q40+Q41+Q42-1163</f>
        <v>9335508.0300000031</v>
      </c>
      <c r="R43" s="42"/>
      <c r="S43" s="31">
        <f>S13+S22-S34+S38+S39+S41+S42-799.25</f>
        <v>8139283.6499999976</v>
      </c>
      <c r="T43" s="31">
        <f>T13+T22-T34+T38+T39+T41+T42+4875</f>
        <v>11564655.299999999</v>
      </c>
      <c r="U43" s="42"/>
      <c r="V43" s="31">
        <f t="shared" ref="V43:AA43" si="26">V13+V22-V34+V38+V39+V41+V42</f>
        <v>13589463.550000006</v>
      </c>
      <c r="W43" s="31">
        <f t="shared" si="26"/>
        <v>13837079.920000009</v>
      </c>
      <c r="X43" s="31">
        <f t="shared" si="26"/>
        <v>13087671.714000009</v>
      </c>
      <c r="Y43" s="31">
        <f t="shared" si="26"/>
        <v>12177598.640362501</v>
      </c>
      <c r="Z43" s="31">
        <f t="shared" si="26"/>
        <v>10833412.523296185</v>
      </c>
      <c r="AA43" s="31">
        <f t="shared" si="26"/>
        <v>9029262.6630809233</v>
      </c>
      <c r="AB43" s="63"/>
      <c r="AC43" s="28"/>
      <c r="AD43" s="46"/>
      <c r="AE43" s="44"/>
    </row>
    <row r="44" spans="1:33" s="24" customFormat="1" ht="6" customHeight="1">
      <c r="A44" s="5"/>
      <c r="B44" s="3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38"/>
      <c r="S44" s="20"/>
      <c r="T44" s="20"/>
      <c r="U44" s="38"/>
      <c r="V44" s="20"/>
      <c r="W44" s="20"/>
      <c r="X44" s="20"/>
      <c r="Y44" s="20"/>
      <c r="Z44" s="20"/>
      <c r="AA44" s="20"/>
      <c r="AB44" s="63"/>
      <c r="AC44" s="28"/>
      <c r="AD44" s="46"/>
      <c r="AE44" s="44"/>
    </row>
    <row r="45" spans="1:33" s="7" customFormat="1" ht="15">
      <c r="A45" s="34" t="s">
        <v>52</v>
      </c>
      <c r="B45" s="65" t="s">
        <v>53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34"/>
      <c r="Q45" s="56"/>
      <c r="R45" s="52"/>
      <c r="S45" s="52"/>
      <c r="T45" s="34" t="s">
        <v>52</v>
      </c>
      <c r="U45" s="52"/>
      <c r="V45" s="66" t="s">
        <v>54</v>
      </c>
      <c r="W45" s="52"/>
      <c r="X45" s="52"/>
      <c r="Y45" s="52"/>
      <c r="Z45" s="52"/>
      <c r="AA45" s="52"/>
      <c r="AB45" s="63"/>
      <c r="AC45" s="28"/>
      <c r="AD45" s="46"/>
      <c r="AE45" s="44"/>
    </row>
    <row r="46" spans="1:33" s="7" customFormat="1" ht="12.75">
      <c r="A46" s="5">
        <v>3</v>
      </c>
      <c r="B46" s="6" t="s">
        <v>55</v>
      </c>
      <c r="C46" s="52"/>
      <c r="D46" s="52"/>
      <c r="E46" s="5"/>
      <c r="F46" s="55"/>
      <c r="G46" s="52"/>
      <c r="H46" s="52"/>
      <c r="I46" s="52"/>
      <c r="J46" s="52"/>
      <c r="K46" s="52"/>
      <c r="L46" s="52"/>
      <c r="M46" s="5"/>
      <c r="N46" s="55"/>
      <c r="O46" s="52"/>
      <c r="P46" s="5"/>
      <c r="Q46" s="57"/>
      <c r="R46" s="52"/>
      <c r="S46" s="52"/>
      <c r="T46" s="5">
        <v>11</v>
      </c>
      <c r="U46" s="52"/>
      <c r="V46" s="57" t="s">
        <v>56</v>
      </c>
      <c r="W46" s="52"/>
      <c r="X46" s="52"/>
      <c r="Y46" s="52"/>
      <c r="Z46" s="52"/>
      <c r="AA46" s="52"/>
      <c r="AB46" s="63"/>
      <c r="AC46" s="28"/>
      <c r="AD46" s="46"/>
      <c r="AE46" s="44"/>
    </row>
    <row r="47" spans="1:33" s="7" customFormat="1" ht="12.75">
      <c r="A47" s="5">
        <v>4</v>
      </c>
      <c r="B47" s="6" t="s">
        <v>57</v>
      </c>
      <c r="C47" s="52"/>
      <c r="D47" s="52"/>
      <c r="E47" s="5"/>
      <c r="F47" s="55"/>
      <c r="G47" s="52"/>
      <c r="H47" s="52"/>
      <c r="I47" s="52"/>
      <c r="J47" s="52"/>
      <c r="K47" s="52"/>
      <c r="L47" s="52"/>
      <c r="M47" s="5"/>
      <c r="N47" s="55"/>
      <c r="O47" s="52"/>
      <c r="P47" s="5"/>
      <c r="Q47" s="57"/>
      <c r="R47" s="52"/>
      <c r="S47" s="52"/>
      <c r="T47" s="5">
        <v>12</v>
      </c>
      <c r="U47" s="52"/>
      <c r="V47" s="57" t="s">
        <v>58</v>
      </c>
      <c r="W47" s="52"/>
      <c r="X47" s="52"/>
      <c r="Y47" s="52"/>
      <c r="Z47" s="52"/>
      <c r="AA47" s="52"/>
      <c r="AB47" s="63"/>
      <c r="AC47" s="28"/>
      <c r="AD47" s="46"/>
      <c r="AE47" s="44"/>
    </row>
    <row r="48" spans="1:33" s="7" customFormat="1" ht="12.75">
      <c r="A48" s="5">
        <v>5</v>
      </c>
      <c r="B48" s="6" t="s">
        <v>59</v>
      </c>
      <c r="C48" s="52"/>
      <c r="D48" s="52"/>
      <c r="E48" s="5"/>
      <c r="F48" s="55"/>
      <c r="G48" s="52"/>
      <c r="H48" s="52"/>
      <c r="I48" s="52"/>
      <c r="J48" s="52"/>
      <c r="K48" s="52"/>
      <c r="L48" s="52"/>
      <c r="M48" s="5"/>
      <c r="N48" s="55"/>
      <c r="O48" s="52"/>
      <c r="P48" s="5"/>
      <c r="Q48" s="57"/>
      <c r="R48" s="52"/>
      <c r="S48" s="52"/>
      <c r="T48" s="5" t="s">
        <v>60</v>
      </c>
      <c r="U48" s="52"/>
      <c r="V48" s="57" t="s">
        <v>61</v>
      </c>
      <c r="W48" s="52"/>
      <c r="X48" s="52"/>
      <c r="Y48" s="52"/>
      <c r="Z48" s="52"/>
      <c r="AA48" s="52"/>
      <c r="AB48" s="63"/>
      <c r="AC48" s="28"/>
      <c r="AD48" s="46"/>
      <c r="AE48" s="44"/>
    </row>
    <row r="49" spans="1:31" s="7" customFormat="1" ht="12.75">
      <c r="A49" s="5" t="s">
        <v>62</v>
      </c>
      <c r="B49" s="6" t="s">
        <v>63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"/>
      <c r="Q49" s="57"/>
      <c r="R49" s="52"/>
      <c r="S49" s="52"/>
      <c r="T49" s="5">
        <v>17</v>
      </c>
      <c r="U49" s="52"/>
      <c r="V49" s="57" t="s">
        <v>64</v>
      </c>
      <c r="W49" s="52"/>
      <c r="X49" s="52"/>
      <c r="Y49" s="52"/>
      <c r="Z49" s="52"/>
      <c r="AA49" s="52"/>
      <c r="AB49" s="63"/>
      <c r="AC49" s="28"/>
      <c r="AD49" s="46"/>
      <c r="AE49" s="44"/>
    </row>
    <row r="50" spans="1:31" ht="12.75">
      <c r="A50" s="5"/>
      <c r="B50" s="6"/>
      <c r="P50" s="5"/>
      <c r="Q50" s="55"/>
      <c r="AB50" s="63"/>
      <c r="AC50" s="28"/>
      <c r="AD50" s="46"/>
    </row>
    <row r="51" spans="1:31" ht="12.75">
      <c r="A51" s="5"/>
      <c r="B51" s="6"/>
      <c r="AB51" s="63"/>
      <c r="AC51" s="28"/>
      <c r="AD51" s="46"/>
    </row>
    <row r="52" spans="1:31" ht="12.75">
      <c r="A52" s="5"/>
      <c r="B52" s="6"/>
      <c r="AB52" s="63"/>
      <c r="AC52" s="28"/>
      <c r="AD52" s="46"/>
    </row>
    <row r="53" spans="1:31" ht="12.75">
      <c r="AB53" s="63"/>
      <c r="AC53" s="28"/>
      <c r="AD53" s="46"/>
    </row>
    <row r="54" spans="1:31" ht="12.75">
      <c r="AB54" s="63"/>
      <c r="AC54" s="28"/>
      <c r="AD54" s="46"/>
    </row>
    <row r="55" spans="1:31" ht="12.75">
      <c r="AB55" s="63"/>
      <c r="AC55" s="28"/>
      <c r="AD55" s="46"/>
    </row>
    <row r="56" spans="1:31" ht="12.75">
      <c r="AB56" s="63"/>
      <c r="AC56" s="28"/>
      <c r="AD56" s="46"/>
    </row>
    <row r="57" spans="1:31" ht="12.75">
      <c r="AB57" s="63"/>
      <c r="AC57" s="28"/>
      <c r="AD57" s="46"/>
    </row>
    <row r="58" spans="1:31" ht="12.75">
      <c r="AB58" s="63"/>
      <c r="AC58" s="28"/>
      <c r="AD58" s="46"/>
    </row>
    <row r="59" spans="1:31" ht="12.75">
      <c r="AB59" s="63"/>
      <c r="AC59" s="28"/>
      <c r="AD59" s="46"/>
    </row>
    <row r="60" spans="1:31" ht="12.75">
      <c r="AB60" s="63"/>
      <c r="AC60" s="28"/>
      <c r="AD60" s="46"/>
    </row>
    <row r="61" spans="1:31" ht="12.75">
      <c r="AB61" s="63"/>
      <c r="AC61" s="28"/>
      <c r="AD61" s="46"/>
    </row>
    <row r="62" spans="1:31" ht="12.75">
      <c r="AB62" s="63"/>
      <c r="AC62" s="28"/>
      <c r="AD62" s="46"/>
    </row>
    <row r="63" spans="1:31" ht="12.75">
      <c r="AB63" s="63"/>
      <c r="AC63" s="28"/>
      <c r="AD63" s="46"/>
    </row>
    <row r="64" spans="1:31" ht="12.75">
      <c r="AB64" s="63"/>
      <c r="AC64" s="28"/>
      <c r="AD64" s="46"/>
    </row>
    <row r="65" spans="28:30" ht="12.75">
      <c r="AB65" s="63"/>
      <c r="AC65" s="28"/>
      <c r="AD65" s="46"/>
    </row>
    <row r="66" spans="28:30" ht="12.75">
      <c r="AB66" s="63"/>
      <c r="AC66" s="28"/>
      <c r="AD66" s="46"/>
    </row>
  </sheetData>
  <printOptions horizontalCentered="1"/>
  <pageMargins left="0" right="0" top="0" bottom="0.5" header="0.5" footer="0.15"/>
  <pageSetup paperSize="5" scale="87" orientation="landscape" verticalDpi="300" r:id="rId1"/>
  <headerFooter>
    <oddFooter>Page &amp;P&amp;R&amp;A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AG66"/>
  <sheetViews>
    <sheetView showRuler="0" zoomScale="120" zoomScaleNormal="120" zoomScalePageLayoutView="150" workbookViewId="0">
      <selection activeCell="W25" sqref="W25"/>
    </sheetView>
  </sheetViews>
  <sheetFormatPr defaultRowHeight="12"/>
  <cols>
    <col min="1" max="1" width="5.42578125" style="3" bestFit="1" customWidth="1"/>
    <col min="2" max="2" width="34.7109375" style="1" customWidth="1"/>
    <col min="3" max="5" width="10.42578125" style="47" hidden="1" customWidth="1"/>
    <col min="6" max="6" width="10.28515625" style="47" hidden="1" customWidth="1"/>
    <col min="7" max="7" width="10.42578125" style="47" hidden="1" customWidth="1"/>
    <col min="8" max="8" width="11" style="47" hidden="1" customWidth="1"/>
    <col min="9" max="13" width="10.42578125" style="47" hidden="1" customWidth="1"/>
    <col min="14" max="15" width="13.7109375" style="47" hidden="1" customWidth="1"/>
    <col min="16" max="17" width="13.7109375" style="47" customWidth="1"/>
    <col min="18" max="18" width="1.7109375" style="47" hidden="1" customWidth="1"/>
    <col min="19" max="20" width="13.7109375" style="47" customWidth="1"/>
    <col min="21" max="21" width="1.7109375" style="47" customWidth="1"/>
    <col min="22" max="22" width="13.7109375" style="47" customWidth="1"/>
    <col min="23" max="23" width="19.28515625" style="47" bestFit="1" customWidth="1"/>
    <col min="24" max="27" width="13.7109375" style="47" customWidth="1"/>
    <col min="28" max="28" width="10.42578125" style="58" bestFit="1" customWidth="1"/>
    <col min="29" max="29" width="9.140625" style="2"/>
    <col min="30" max="31" width="9.140625" style="45"/>
    <col min="32" max="16384" width="9.140625" style="2"/>
  </cols>
  <sheetData>
    <row r="7" spans="1:33" ht="17.25">
      <c r="M7" s="48"/>
      <c r="N7" s="49"/>
      <c r="O7" s="49"/>
      <c r="P7" s="49"/>
      <c r="Q7" s="49"/>
      <c r="R7" s="49"/>
      <c r="U7" s="49"/>
    </row>
    <row r="8" spans="1:33" ht="9.75" customHeight="1">
      <c r="B8" s="4"/>
      <c r="M8" s="50"/>
      <c r="N8" s="51"/>
      <c r="O8" s="51"/>
      <c r="P8" s="51"/>
      <c r="Q8" s="51"/>
      <c r="R8" s="51"/>
      <c r="U8" s="51"/>
    </row>
    <row r="9" spans="1:33" s="7" customFormat="1" ht="12.6" customHeight="1">
      <c r="A9" s="5"/>
      <c r="B9" s="4" t="s">
        <v>17</v>
      </c>
      <c r="C9" s="52"/>
      <c r="D9" s="52"/>
      <c r="E9" s="52"/>
      <c r="F9" s="52"/>
      <c r="G9" s="52"/>
      <c r="H9" s="52"/>
      <c r="I9" s="52"/>
      <c r="J9" s="52"/>
      <c r="K9" s="53"/>
      <c r="L9" s="53"/>
      <c r="M9" s="54"/>
      <c r="N9" s="54"/>
      <c r="O9" s="54"/>
      <c r="P9" s="54"/>
      <c r="Q9" s="54"/>
      <c r="R9" s="8"/>
      <c r="S9" s="54"/>
      <c r="T9" s="54"/>
      <c r="U9" s="51"/>
      <c r="V9" s="67" t="s">
        <v>18</v>
      </c>
      <c r="W9" s="68" t="s">
        <v>19</v>
      </c>
      <c r="X9" s="9" t="s">
        <v>20</v>
      </c>
      <c r="Y9" s="9" t="s">
        <v>20</v>
      </c>
      <c r="Z9" s="9" t="s">
        <v>20</v>
      </c>
      <c r="AA9" s="9" t="s">
        <v>20</v>
      </c>
      <c r="AB9" s="59"/>
      <c r="AD9" s="44"/>
      <c r="AE9" s="44"/>
    </row>
    <row r="10" spans="1:33" s="12" customFormat="1" ht="12.75">
      <c r="A10" s="5"/>
      <c r="B10" s="10"/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11" t="s">
        <v>21</v>
      </c>
      <c r="I10" s="11" t="s">
        <v>21</v>
      </c>
      <c r="J10" s="11" t="s">
        <v>21</v>
      </c>
      <c r="K10" s="11" t="s">
        <v>21</v>
      </c>
      <c r="L10" s="11" t="s">
        <v>21</v>
      </c>
      <c r="M10" s="11" t="s">
        <v>21</v>
      </c>
      <c r="N10" s="11" t="s">
        <v>21</v>
      </c>
      <c r="O10" s="11" t="s">
        <v>21</v>
      </c>
      <c r="P10" s="11" t="s">
        <v>21</v>
      </c>
      <c r="Q10" s="11" t="s">
        <v>21</v>
      </c>
      <c r="R10" s="35"/>
      <c r="S10" s="11" t="s">
        <v>21</v>
      </c>
      <c r="T10" s="11" t="s">
        <v>21</v>
      </c>
      <c r="U10" s="35"/>
      <c r="V10" s="11" t="s">
        <v>21</v>
      </c>
      <c r="W10" s="11" t="s">
        <v>21</v>
      </c>
      <c r="X10" s="11" t="s">
        <v>21</v>
      </c>
      <c r="Y10" s="11" t="s">
        <v>21</v>
      </c>
      <c r="Z10" s="11" t="s">
        <v>21</v>
      </c>
      <c r="AA10" s="11" t="s">
        <v>21</v>
      </c>
      <c r="AB10" s="60"/>
      <c r="AD10" s="44"/>
      <c r="AE10" s="44"/>
    </row>
    <row r="11" spans="1:33" s="15" customFormat="1" ht="12.75">
      <c r="A11" s="5"/>
      <c r="B11" s="13"/>
      <c r="C11" s="14">
        <v>37072</v>
      </c>
      <c r="D11" s="14">
        <v>37437</v>
      </c>
      <c r="E11" s="14">
        <v>37774</v>
      </c>
      <c r="F11" s="14">
        <v>38139</v>
      </c>
      <c r="G11" s="14">
        <v>38504</v>
      </c>
      <c r="H11" s="14">
        <v>38869</v>
      </c>
      <c r="I11" s="14">
        <v>39234</v>
      </c>
      <c r="J11" s="14">
        <v>39600</v>
      </c>
      <c r="K11" s="14">
        <v>39965</v>
      </c>
      <c r="L11" s="14">
        <v>40359</v>
      </c>
      <c r="M11" s="14">
        <v>40724</v>
      </c>
      <c r="N11" s="14">
        <v>41090</v>
      </c>
      <c r="O11" s="14">
        <v>41455</v>
      </c>
      <c r="P11" s="14">
        <v>41820</v>
      </c>
      <c r="Q11" s="14">
        <v>42185</v>
      </c>
      <c r="R11" s="36"/>
      <c r="S11" s="14">
        <v>42551</v>
      </c>
      <c r="T11" s="14">
        <v>42916</v>
      </c>
      <c r="U11" s="36"/>
      <c r="V11" s="14">
        <v>43281</v>
      </c>
      <c r="W11" s="14">
        <v>43646</v>
      </c>
      <c r="X11" s="14">
        <v>44012</v>
      </c>
      <c r="Y11" s="14">
        <v>44377</v>
      </c>
      <c r="Z11" s="14">
        <v>44742</v>
      </c>
      <c r="AA11" s="14">
        <v>45107</v>
      </c>
      <c r="AB11" s="60"/>
      <c r="AD11" s="44"/>
      <c r="AE11" s="44"/>
    </row>
    <row r="12" spans="1:33" s="18" customFormat="1" ht="3" customHeight="1">
      <c r="A12" s="5"/>
      <c r="B12" s="16"/>
      <c r="C12" s="14"/>
      <c r="D12" s="14"/>
      <c r="E12" s="14"/>
      <c r="F12" s="14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7"/>
      <c r="S12" s="17"/>
      <c r="T12" s="17"/>
      <c r="U12" s="37"/>
      <c r="V12" s="17"/>
      <c r="W12" s="17"/>
      <c r="X12" s="17"/>
      <c r="Y12" s="17"/>
      <c r="Z12" s="17"/>
      <c r="AA12" s="17"/>
      <c r="AB12" s="59"/>
      <c r="AD12" s="44"/>
      <c r="AE12" s="44"/>
    </row>
    <row r="13" spans="1:33" s="21" customFormat="1" ht="12.75">
      <c r="A13" s="5">
        <v>1</v>
      </c>
      <c r="B13" s="19" t="s">
        <v>22</v>
      </c>
      <c r="C13" s="20">
        <v>7989000</v>
      </c>
      <c r="D13" s="20">
        <f t="shared" ref="D13:J13" si="0">C43</f>
        <v>7795000</v>
      </c>
      <c r="E13" s="20">
        <f t="shared" si="0"/>
        <v>7281000</v>
      </c>
      <c r="F13" s="20">
        <f t="shared" si="0"/>
        <v>5137000</v>
      </c>
      <c r="G13" s="20">
        <f t="shared" si="0"/>
        <v>16363000</v>
      </c>
      <c r="H13" s="20">
        <f t="shared" si="0"/>
        <v>11704000</v>
      </c>
      <c r="I13" s="20">
        <f t="shared" si="0"/>
        <v>7924000</v>
      </c>
      <c r="J13" s="20">
        <f t="shared" si="0"/>
        <v>6202000</v>
      </c>
      <c r="K13" s="20">
        <f>J43</f>
        <v>3307000</v>
      </c>
      <c r="L13" s="20">
        <f>K43</f>
        <v>8601000</v>
      </c>
      <c r="M13" s="20">
        <f>L43</f>
        <v>7576000</v>
      </c>
      <c r="N13" s="20">
        <f>M43</f>
        <v>7350387</v>
      </c>
      <c r="O13" s="20">
        <v>7634658.0300000003</v>
      </c>
      <c r="P13" s="20">
        <f t="shared" ref="P13:AA13" si="1">O43</f>
        <v>7912299.4299999997</v>
      </c>
      <c r="Q13" s="20">
        <f t="shared" si="1"/>
        <v>8334084.0500000026</v>
      </c>
      <c r="R13" s="38"/>
      <c r="S13" s="20">
        <f>Q43</f>
        <v>9335508.0300000031</v>
      </c>
      <c r="T13" s="20">
        <f>S43</f>
        <v>8139283.6499999976</v>
      </c>
      <c r="U13" s="38"/>
      <c r="V13" s="20">
        <f>T43</f>
        <v>11564655.299999999</v>
      </c>
      <c r="W13" s="20">
        <f t="shared" si="1"/>
        <v>13589463.550000006</v>
      </c>
      <c r="X13" s="20">
        <f t="shared" si="1"/>
        <v>13919219.870000008</v>
      </c>
      <c r="Y13" s="20">
        <f t="shared" si="1"/>
        <v>13341484.15950001</v>
      </c>
      <c r="Z13" s="20">
        <f t="shared" si="1"/>
        <v>12700509.776057504</v>
      </c>
      <c r="AA13" s="20">
        <f t="shared" si="1"/>
        <v>11731273.556412734</v>
      </c>
      <c r="AB13" s="59"/>
      <c r="AD13" s="44"/>
      <c r="AE13" s="44"/>
    </row>
    <row r="14" spans="1:33" s="18" customFormat="1" ht="6" customHeight="1">
      <c r="A14" s="5"/>
      <c r="B14" s="16"/>
      <c r="C14" s="22"/>
      <c r="D14" s="22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9"/>
      <c r="S14" s="23"/>
      <c r="T14" s="23"/>
      <c r="U14" s="39"/>
      <c r="V14" s="23"/>
      <c r="W14" s="23"/>
      <c r="X14" s="23"/>
      <c r="Y14" s="23"/>
      <c r="Z14" s="23"/>
      <c r="AA14" s="23"/>
      <c r="AB14" s="59"/>
      <c r="AD14" s="44"/>
      <c r="AE14" s="44"/>
    </row>
    <row r="15" spans="1:33" s="7" customFormat="1" ht="12.75">
      <c r="A15" s="5">
        <v>2</v>
      </c>
      <c r="B15" s="6" t="s">
        <v>23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40"/>
      <c r="S15" s="25"/>
      <c r="T15" s="25"/>
      <c r="U15" s="40"/>
      <c r="V15" s="25"/>
      <c r="W15" s="25"/>
      <c r="X15" s="25"/>
      <c r="Y15" s="25"/>
      <c r="Z15" s="25"/>
      <c r="AA15" s="25"/>
      <c r="AB15" s="59"/>
      <c r="AD15" s="64" t="s">
        <v>24</v>
      </c>
      <c r="AE15" s="64" t="s">
        <v>25</v>
      </c>
      <c r="AF15" s="64" t="s">
        <v>26</v>
      </c>
      <c r="AG15" s="64" t="s">
        <v>27</v>
      </c>
    </row>
    <row r="16" spans="1:33" s="24" customFormat="1" ht="15.6" customHeight="1">
      <c r="A16" s="5">
        <v>3</v>
      </c>
      <c r="B16" s="26" t="s">
        <v>28</v>
      </c>
      <c r="C16" s="25">
        <v>5794000</v>
      </c>
      <c r="D16" s="25">
        <v>5978000</v>
      </c>
      <c r="E16" s="25">
        <v>6232000</v>
      </c>
      <c r="F16" s="25">
        <v>6407000</v>
      </c>
      <c r="G16" s="25">
        <v>6555000</v>
      </c>
      <c r="H16" s="25">
        <v>6815000</v>
      </c>
      <c r="I16" s="25">
        <v>8500000</v>
      </c>
      <c r="J16" s="25">
        <v>7654000</v>
      </c>
      <c r="K16" s="25">
        <v>8217000</v>
      </c>
      <c r="L16" s="25">
        <v>9210000</v>
      </c>
      <c r="M16" s="25">
        <v>8898309</v>
      </c>
      <c r="N16" s="27">
        <v>9215013</v>
      </c>
      <c r="O16" s="27">
        <v>9018419.3100000005</v>
      </c>
      <c r="P16" s="25">
        <f>SUM(9604681.28-116675.29)</f>
        <v>9488005.9900000002</v>
      </c>
      <c r="Q16" s="25">
        <v>9396925.5800000001</v>
      </c>
      <c r="R16" s="40"/>
      <c r="S16" s="25">
        <v>10056749.880000001</v>
      </c>
      <c r="T16" s="25">
        <v>9863623.9800000004</v>
      </c>
      <c r="U16" s="40"/>
      <c r="V16" s="25">
        <v>9942745.3100000005</v>
      </c>
      <c r="W16" s="25">
        <v>10014319</v>
      </c>
      <c r="X16" s="25">
        <f>SUM(W16-W31)*1.025+(X31*1.025)</f>
        <v>10311987.1415</v>
      </c>
      <c r="Y16" s="25">
        <f>SUM(X16-X31)*AB16+(Y31*AB16)</f>
        <v>10575362.820037499</v>
      </c>
      <c r="Z16" s="25">
        <f>SUM(Y16-Y31)*AB16+(Z31*AB16)</f>
        <v>10907464.796788435</v>
      </c>
      <c r="AA16" s="25">
        <f>SUM(Z16-Z31)*AB16+(AA31*AB16)</f>
        <v>11204194.072958145</v>
      </c>
      <c r="AB16" s="61">
        <v>1.0249999999999999</v>
      </c>
      <c r="AD16" s="44">
        <f t="shared" ref="AD16:AD21" si="2">SUM(V16/($V$22+$V$39))</f>
        <v>0.51890928480308163</v>
      </c>
      <c r="AE16" s="44">
        <f t="shared" ref="AE16:AE21" si="3">SUM(W16/($W$22+$W$39))</f>
        <v>0.53779942189015972</v>
      </c>
      <c r="AF16" s="44">
        <f t="shared" ref="AF16:AF21" si="4">SUM(X16/($X$22+$X$39))</f>
        <v>0.55529620558968651</v>
      </c>
      <c r="AG16" s="44">
        <f t="shared" ref="AG16:AG21" si="5">SUM(Y16/($Y$22+$Y$39))</f>
        <v>0.56116021860399412</v>
      </c>
    </row>
    <row r="17" spans="1:33" s="24" customFormat="1" ht="15.6" customHeight="1">
      <c r="A17" s="5">
        <v>4</v>
      </c>
      <c r="B17" s="26" t="s">
        <v>29</v>
      </c>
      <c r="C17" s="25">
        <v>921000</v>
      </c>
      <c r="D17" s="25">
        <v>871000</v>
      </c>
      <c r="E17" s="25">
        <v>753000</v>
      </c>
      <c r="F17" s="25">
        <v>646000</v>
      </c>
      <c r="G17" s="25">
        <v>785000</v>
      </c>
      <c r="H17" s="25">
        <v>929000</v>
      </c>
      <c r="I17" s="25">
        <v>1025000</v>
      </c>
      <c r="J17" s="25">
        <v>946000</v>
      </c>
      <c r="K17" s="25">
        <v>749000</v>
      </c>
      <c r="L17" s="25">
        <v>826000</v>
      </c>
      <c r="M17" s="25">
        <v>773313</v>
      </c>
      <c r="N17" s="27">
        <v>855251</v>
      </c>
      <c r="O17" s="27">
        <f>SUM(931002-200000-100000)</f>
        <v>631002</v>
      </c>
      <c r="P17" s="25">
        <f>SUM(509529.12+116675.29+14158.57)</f>
        <v>640362.98</v>
      </c>
      <c r="Q17" s="25">
        <v>599134</v>
      </c>
      <c r="R17" s="40"/>
      <c r="S17" s="25">
        <v>544316.53</v>
      </c>
      <c r="T17" s="25">
        <v>568577.67000000004</v>
      </c>
      <c r="U17" s="40"/>
      <c r="V17" s="25">
        <v>590892.73</v>
      </c>
      <c r="W17" s="25">
        <f>SUM(10598155-10014319)</f>
        <v>583836</v>
      </c>
      <c r="X17" s="25">
        <f>+W17*AB17</f>
        <v>595512.72</v>
      </c>
      <c r="Y17" s="25">
        <f>+X17*AB17</f>
        <v>607422.97439999995</v>
      </c>
      <c r="Z17" s="25">
        <f>+Y17*AB17</f>
        <v>619571.43388799997</v>
      </c>
      <c r="AA17" s="25">
        <f>SUM(Z17-Z32)*AB17+(AA32*AB17)</f>
        <v>631962.86256576004</v>
      </c>
      <c r="AB17" s="61">
        <v>1.02</v>
      </c>
      <c r="AD17" s="44">
        <f t="shared" si="2"/>
        <v>3.0838537482324426E-2</v>
      </c>
      <c r="AE17" s="44">
        <f t="shared" si="3"/>
        <v>3.1353770863367075E-2</v>
      </c>
      <c r="AF17" s="44">
        <f t="shared" si="4"/>
        <v>3.2068111534542823E-2</v>
      </c>
      <c r="AG17" s="44">
        <f t="shared" si="5"/>
        <v>3.2231670430592718E-2</v>
      </c>
    </row>
    <row r="18" spans="1:33" s="24" customFormat="1" ht="15.6" customHeight="1">
      <c r="A18" s="5">
        <v>5</v>
      </c>
      <c r="B18" s="26" t="s">
        <v>30</v>
      </c>
      <c r="C18" s="25">
        <v>1595000</v>
      </c>
      <c r="D18" s="25">
        <v>1697000</v>
      </c>
      <c r="E18" s="25">
        <v>1711000</v>
      </c>
      <c r="F18" s="25">
        <v>2026000</v>
      </c>
      <c r="G18" s="25">
        <v>2508000</v>
      </c>
      <c r="H18" s="25">
        <v>2788000</v>
      </c>
      <c r="I18" s="25">
        <v>3345000</v>
      </c>
      <c r="J18" s="25">
        <v>3470000</v>
      </c>
      <c r="K18" s="25">
        <v>4019000</v>
      </c>
      <c r="L18" s="25">
        <v>3863000</v>
      </c>
      <c r="M18" s="25">
        <v>3774613</v>
      </c>
      <c r="N18" s="27">
        <v>3425646</v>
      </c>
      <c r="O18" s="27">
        <v>3336443.93</v>
      </c>
      <c r="P18" s="25">
        <v>3292376.03</v>
      </c>
      <c r="Q18" s="25">
        <f>SUM(3607389.19+80212)</f>
        <v>3687601.19</v>
      </c>
      <c r="R18" s="40"/>
      <c r="S18" s="25">
        <v>4152330.45</v>
      </c>
      <c r="T18" s="25">
        <v>4599383.51</v>
      </c>
      <c r="U18" s="40"/>
      <c r="V18" s="25">
        <f>SUM(5123615.99+556984.15+24435.51)</f>
        <v>5705035.6500000004</v>
      </c>
      <c r="W18" s="25">
        <f>SUM(5123615.99+556984.15+24874)+360016.98</f>
        <v>6065491.120000001</v>
      </c>
      <c r="X18" s="25">
        <f>SUM(W18*$AB$18)-360016.98</f>
        <v>5705474.1400000006</v>
      </c>
      <c r="Y18" s="25">
        <f>SUM(X18*$AB$18)</f>
        <v>5705474.1400000006</v>
      </c>
      <c r="Z18" s="25">
        <f>SUM(Y18*$AB$18)</f>
        <v>5705474.1400000006</v>
      </c>
      <c r="AA18" s="25">
        <f>SUM(Z18*$AB$18)</f>
        <v>5705474.1400000006</v>
      </c>
      <c r="AB18" s="61">
        <v>1</v>
      </c>
      <c r="AD18" s="44">
        <f t="shared" si="2"/>
        <v>0.29774432278177143</v>
      </c>
      <c r="AE18" s="44">
        <f t="shared" si="3"/>
        <v>0.32573534134631599</v>
      </c>
      <c r="AF18" s="44">
        <f t="shared" si="4"/>
        <v>0.30723740221530416</v>
      </c>
      <c r="AG18" s="44">
        <f t="shared" si="5"/>
        <v>0.30274943471211163</v>
      </c>
    </row>
    <row r="19" spans="1:33" s="24" customFormat="1" ht="15.6" customHeight="1">
      <c r="A19" s="5">
        <v>6</v>
      </c>
      <c r="B19" s="26" t="s">
        <v>31</v>
      </c>
      <c r="C19" s="25">
        <v>1838000</v>
      </c>
      <c r="D19" s="25">
        <v>1354000</v>
      </c>
      <c r="E19" s="25">
        <v>1627000</v>
      </c>
      <c r="F19" s="25">
        <v>2052000</v>
      </c>
      <c r="G19" s="25">
        <v>1801000</v>
      </c>
      <c r="H19" s="25">
        <v>1771000</v>
      </c>
      <c r="I19" s="25">
        <v>2321000</v>
      </c>
      <c r="J19" s="25">
        <v>1766000</v>
      </c>
      <c r="K19" s="25">
        <v>1948000</v>
      </c>
      <c r="L19" s="25">
        <v>1834000</v>
      </c>
      <c r="M19" s="25">
        <v>2294113</v>
      </c>
      <c r="N19" s="27">
        <v>1867696</v>
      </c>
      <c r="O19" s="27">
        <f>SUM(5572254.07-O18)</f>
        <v>2235810.14</v>
      </c>
      <c r="P19" s="25">
        <v>2220209.29</v>
      </c>
      <c r="Q19" s="25">
        <f>SUM(1485336.78-80212)</f>
        <v>1405124.78</v>
      </c>
      <c r="R19" s="40"/>
      <c r="S19" s="25">
        <v>1168911.3899999999</v>
      </c>
      <c r="T19" s="25">
        <v>1060500.6000000001</v>
      </c>
      <c r="U19" s="40"/>
      <c r="V19" s="25">
        <v>1577389.5</v>
      </c>
      <c r="W19" s="25">
        <v>1004006</v>
      </c>
      <c r="X19" s="25">
        <f>SUM(W19*$AB$19)</f>
        <v>1004006</v>
      </c>
      <c r="Y19" s="25">
        <f>SUM(X19*$AB$19)</f>
        <v>1004006</v>
      </c>
      <c r="Z19" s="25">
        <f>SUM(Y19*$AB$19)</f>
        <v>1004006</v>
      </c>
      <c r="AA19" s="25">
        <f>SUM(Z19*$AB$19)</f>
        <v>1004006</v>
      </c>
      <c r="AB19" s="61">
        <v>1</v>
      </c>
      <c r="AD19" s="44">
        <f t="shared" si="2"/>
        <v>8.2323546644371456E-2</v>
      </c>
      <c r="AE19" s="44">
        <f t="shared" si="3"/>
        <v>5.3918179196633512E-2</v>
      </c>
      <c r="AF19" s="44">
        <f t="shared" si="4"/>
        <v>5.4065304246314339E-2</v>
      </c>
      <c r="AG19" s="44">
        <f t="shared" si="5"/>
        <v>5.3275545815999151E-2</v>
      </c>
    </row>
    <row r="20" spans="1:33" s="24" customFormat="1" ht="15.6" customHeight="1">
      <c r="A20" s="5">
        <v>7</v>
      </c>
      <c r="B20" s="26" t="s">
        <v>32</v>
      </c>
      <c r="C20" s="25">
        <v>650000</v>
      </c>
      <c r="D20" s="25">
        <v>532000</v>
      </c>
      <c r="E20" s="25">
        <v>543000</v>
      </c>
      <c r="F20" s="25">
        <v>513000</v>
      </c>
      <c r="G20" s="25">
        <v>575000</v>
      </c>
      <c r="H20" s="25">
        <v>463000</v>
      </c>
      <c r="I20" s="25">
        <v>725000</v>
      </c>
      <c r="J20" s="25">
        <v>557000</v>
      </c>
      <c r="K20" s="25">
        <v>638000</v>
      </c>
      <c r="L20" s="25">
        <v>888000</v>
      </c>
      <c r="M20" s="25">
        <v>1508186</v>
      </c>
      <c r="N20" s="27">
        <v>964380</v>
      </c>
      <c r="O20" s="27">
        <v>890972.82</v>
      </c>
      <c r="P20" s="25">
        <v>872664.53</v>
      </c>
      <c r="Q20" s="25">
        <v>964588.89</v>
      </c>
      <c r="R20" s="40"/>
      <c r="S20" s="25">
        <v>1026466.58</v>
      </c>
      <c r="T20" s="25">
        <v>1119230.49</v>
      </c>
      <c r="U20" s="40"/>
      <c r="V20" s="25">
        <v>1016697.83</v>
      </c>
      <c r="W20" s="25">
        <v>953266</v>
      </c>
      <c r="X20" s="25">
        <f>SUM(W20*$AB$20)</f>
        <v>953266</v>
      </c>
      <c r="Y20" s="25">
        <f>SUM(X20*$AB$20)</f>
        <v>953266</v>
      </c>
      <c r="Z20" s="25">
        <f>SUM(Y20*$AB$20)</f>
        <v>953266</v>
      </c>
      <c r="AA20" s="25">
        <f>SUM(Z20*$AB$20)</f>
        <v>953266</v>
      </c>
      <c r="AB20" s="61">
        <v>1</v>
      </c>
      <c r="AD20" s="44">
        <f t="shared" si="2"/>
        <v>5.306119460744238E-2</v>
      </c>
      <c r="AE20" s="44">
        <f t="shared" si="3"/>
        <v>5.1193286703523723E-2</v>
      </c>
      <c r="AF20" s="44">
        <f t="shared" si="4"/>
        <v>5.1332976414151993E-2</v>
      </c>
      <c r="AG20" s="44">
        <f t="shared" si="5"/>
        <v>5.0583130437302413E-2</v>
      </c>
    </row>
    <row r="21" spans="1:33" s="24" customFormat="1" ht="15.6" customHeight="1">
      <c r="A21" s="5">
        <v>8</v>
      </c>
      <c r="B21" s="26" t="s">
        <v>33</v>
      </c>
      <c r="C21" s="25"/>
      <c r="D21" s="25"/>
      <c r="E21" s="25"/>
      <c r="F21" s="25"/>
      <c r="G21" s="25"/>
      <c r="H21" s="25"/>
      <c r="I21" s="25"/>
      <c r="J21" s="25"/>
      <c r="K21" s="25">
        <v>0</v>
      </c>
      <c r="L21" s="25">
        <v>0</v>
      </c>
      <c r="M21" s="25">
        <v>0</v>
      </c>
      <c r="N21" s="27">
        <v>0</v>
      </c>
      <c r="O21" s="27">
        <f>SUM(3795000+433865.85)</f>
        <v>4228865.8499999996</v>
      </c>
      <c r="P21" s="25">
        <v>0</v>
      </c>
      <c r="Q21" s="25">
        <v>1500468</v>
      </c>
      <c r="R21" s="40"/>
      <c r="S21" s="25">
        <v>0</v>
      </c>
      <c r="T21" s="25">
        <f>SUM(6390000-340181.53)</f>
        <v>6049818.4699999997</v>
      </c>
      <c r="U21" s="40"/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61"/>
      <c r="AD21" s="44">
        <f t="shared" si="2"/>
        <v>0</v>
      </c>
      <c r="AE21" s="44">
        <f t="shared" si="3"/>
        <v>0</v>
      </c>
      <c r="AF21" s="44">
        <f t="shared" si="4"/>
        <v>0</v>
      </c>
      <c r="AG21" s="44">
        <f t="shared" si="5"/>
        <v>0</v>
      </c>
    </row>
    <row r="22" spans="1:33" s="28" customFormat="1" ht="16.7" customHeight="1" thickBot="1">
      <c r="A22" s="5">
        <v>9</v>
      </c>
      <c r="B22" s="28" t="s">
        <v>34</v>
      </c>
      <c r="C22" s="29">
        <f t="shared" ref="C22:J22" si="6">SUM(C16:C20)</f>
        <v>10798000</v>
      </c>
      <c r="D22" s="29">
        <f t="shared" si="6"/>
        <v>10432000</v>
      </c>
      <c r="E22" s="29">
        <f t="shared" si="6"/>
        <v>10866000</v>
      </c>
      <c r="F22" s="29">
        <f t="shared" si="6"/>
        <v>11644000</v>
      </c>
      <c r="G22" s="29">
        <f t="shared" si="6"/>
        <v>12224000</v>
      </c>
      <c r="H22" s="29">
        <f t="shared" si="6"/>
        <v>12766000</v>
      </c>
      <c r="I22" s="29">
        <f t="shared" si="6"/>
        <v>15916000</v>
      </c>
      <c r="J22" s="29">
        <f t="shared" si="6"/>
        <v>14393000</v>
      </c>
      <c r="K22" s="29">
        <f>SUM(K16:K21)</f>
        <v>15571000</v>
      </c>
      <c r="L22" s="29">
        <f>SUM(L16:L21)</f>
        <v>16621000</v>
      </c>
      <c r="M22" s="29">
        <f>SUM(M16:M21)</f>
        <v>17248534</v>
      </c>
      <c r="N22" s="29">
        <f>SUM(N16:N21)</f>
        <v>16327986</v>
      </c>
      <c r="O22" s="29">
        <f t="shared" ref="O22:AA22" si="7">SUM(O16:O21)</f>
        <v>20341514.050000001</v>
      </c>
      <c r="P22" s="29">
        <f t="shared" si="7"/>
        <v>16513618.819999998</v>
      </c>
      <c r="Q22" s="29">
        <f t="shared" si="7"/>
        <v>17553842.439999998</v>
      </c>
      <c r="R22" s="41"/>
      <c r="S22" s="29">
        <f t="shared" si="7"/>
        <v>16948774.829999998</v>
      </c>
      <c r="T22" s="29">
        <f t="shared" si="7"/>
        <v>23261134.719999999</v>
      </c>
      <c r="U22" s="41"/>
      <c r="V22" s="29">
        <f t="shared" si="7"/>
        <v>18832761.02</v>
      </c>
      <c r="W22" s="29">
        <f t="shared" si="7"/>
        <v>18620918.120000001</v>
      </c>
      <c r="X22" s="29">
        <f t="shared" si="7"/>
        <v>18570246.001500003</v>
      </c>
      <c r="Y22" s="29">
        <f t="shared" si="7"/>
        <v>18845531.934437498</v>
      </c>
      <c r="Z22" s="29">
        <f t="shared" si="7"/>
        <v>19189782.370676436</v>
      </c>
      <c r="AA22" s="29">
        <f t="shared" si="7"/>
        <v>19498903.075523905</v>
      </c>
      <c r="AB22" s="62"/>
      <c r="AD22" s="44">
        <f>SUM(V39/($V$22+$V$39))</f>
        <v>1.7123113681008793E-2</v>
      </c>
      <c r="AE22" s="44">
        <f>SUM(W39/($W$22+$W$39))</f>
        <v>0</v>
      </c>
      <c r="AF22" s="44">
        <f>SUM(X39/($X$22+$X$39))</f>
        <v>0</v>
      </c>
      <c r="AG22" s="44">
        <f>SUM(Y39/($Y$22+$Y$39))</f>
        <v>0</v>
      </c>
    </row>
    <row r="23" spans="1:33" s="24" customFormat="1" ht="6.75" customHeight="1" thickTop="1">
      <c r="A23" s="5"/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40"/>
      <c r="S23" s="25"/>
      <c r="T23" s="25"/>
      <c r="U23" s="40"/>
      <c r="V23" s="25"/>
      <c r="W23" s="25"/>
      <c r="X23" s="25"/>
      <c r="Y23" s="25"/>
      <c r="Z23" s="25"/>
      <c r="AA23" s="25"/>
      <c r="AB23" s="61"/>
      <c r="AD23" s="44"/>
      <c r="AE23" s="44"/>
      <c r="AF23" s="44"/>
      <c r="AG23" s="44"/>
    </row>
    <row r="24" spans="1:33" s="24" customFormat="1" ht="15" customHeight="1">
      <c r="A24" s="5">
        <v>10</v>
      </c>
      <c r="B24" s="28" t="s">
        <v>35</v>
      </c>
      <c r="C24" s="44">
        <f t="shared" ref="C24" si="8">SUM(C25+C26)/(C34-C31-C32-C33)</f>
        <v>0.76787492531368251</v>
      </c>
      <c r="D24" s="44">
        <f t="shared" ref="D24" si="9">SUM(D25+D26)/(D34-D31-D32-D33)</f>
        <v>0.80340887081154366</v>
      </c>
      <c r="E24" s="44">
        <f t="shared" ref="E24:S24" si="10">SUM(E25+E26)/(E34-E31-E32-E33)</f>
        <v>0.81176578560939794</v>
      </c>
      <c r="F24" s="44">
        <f t="shared" si="10"/>
        <v>0.82318591670244745</v>
      </c>
      <c r="G24" s="44">
        <f t="shared" si="10"/>
        <v>0.80702317004730217</v>
      </c>
      <c r="H24" s="44">
        <f t="shared" si="10"/>
        <v>0.76568038775953118</v>
      </c>
      <c r="I24" s="44">
        <f t="shared" si="10"/>
        <v>0.77673559297946426</v>
      </c>
      <c r="J24" s="44">
        <f t="shared" si="10"/>
        <v>0.77143248425089017</v>
      </c>
      <c r="K24" s="44">
        <f t="shared" si="10"/>
        <v>0.78928144507902775</v>
      </c>
      <c r="L24" s="44">
        <f t="shared" si="10"/>
        <v>0.79107215654300855</v>
      </c>
      <c r="M24" s="44">
        <f t="shared" si="10"/>
        <v>0.78953843052177963</v>
      </c>
      <c r="N24" s="44">
        <f t="shared" si="10"/>
        <v>0.78421632122537344</v>
      </c>
      <c r="O24" s="44">
        <f t="shared" si="10"/>
        <v>0.75856500333012244</v>
      </c>
      <c r="P24" s="44">
        <f t="shared" si="10"/>
        <v>0.77022780548325509</v>
      </c>
      <c r="Q24" s="44">
        <f t="shared" si="10"/>
        <v>0.73185648949982662</v>
      </c>
      <c r="R24" s="44" t="e">
        <f t="shared" si="10"/>
        <v>#DIV/0!</v>
      </c>
      <c r="S24" s="44">
        <f t="shared" si="10"/>
        <v>0.70575106704808765</v>
      </c>
      <c r="T24" s="44">
        <f>SUM(T25+T26)/(T34-T31-T32-T33)</f>
        <v>0.70743473051644434</v>
      </c>
      <c r="U24" s="40"/>
      <c r="V24" s="44">
        <f t="shared" ref="V24:Z24" si="11">SUM(V25+V26)/(V34-V31-V32-V33)</f>
        <v>0.78825519327922966</v>
      </c>
      <c r="W24" s="44">
        <f t="shared" si="11"/>
        <v>0.76644008190369406</v>
      </c>
      <c r="X24" s="44">
        <f t="shared" si="11"/>
        <v>0.75831680672761392</v>
      </c>
      <c r="Y24" s="44">
        <f t="shared" si="11"/>
        <v>0.7735390231781889</v>
      </c>
      <c r="Z24" s="44">
        <f t="shared" si="11"/>
        <v>0.77705360701817405</v>
      </c>
      <c r="AA24" s="44">
        <f t="shared" ref="AA24" si="12">SUM(AA25+AA26)/(AA34-AA31-AA32-AA33)</f>
        <v>0.78054359375528926</v>
      </c>
      <c r="AB24" s="61"/>
      <c r="AD24" s="64" t="s">
        <v>24</v>
      </c>
      <c r="AE24" s="64" t="s">
        <v>25</v>
      </c>
      <c r="AF24" s="64" t="s">
        <v>26</v>
      </c>
      <c r="AG24" s="64" t="s">
        <v>27</v>
      </c>
    </row>
    <row r="25" spans="1:33" s="24" customFormat="1" ht="15.6" customHeight="1">
      <c r="A25" s="5">
        <v>11</v>
      </c>
      <c r="B25" s="24" t="s">
        <v>36</v>
      </c>
      <c r="C25" s="25">
        <v>6482000</v>
      </c>
      <c r="D25" s="25">
        <v>6949000</v>
      </c>
      <c r="E25" s="25">
        <v>7343000</v>
      </c>
      <c r="F25" s="25">
        <v>7851000</v>
      </c>
      <c r="G25" s="25">
        <v>8006000</v>
      </c>
      <c r="H25" s="25">
        <v>8343000</v>
      </c>
      <c r="I25" s="25">
        <v>8441000</v>
      </c>
      <c r="J25" s="25">
        <v>8750000</v>
      </c>
      <c r="K25" s="25">
        <v>9247000</v>
      </c>
      <c r="L25" s="25">
        <v>9018000</v>
      </c>
      <c r="M25" s="25">
        <v>9231681</v>
      </c>
      <c r="N25" s="25">
        <v>8092162</v>
      </c>
      <c r="O25" s="25">
        <v>7994628.2999999998</v>
      </c>
      <c r="P25" s="25">
        <v>8154947.2699999996</v>
      </c>
      <c r="Q25" s="25">
        <v>8217043.0599999996</v>
      </c>
      <c r="R25" s="40"/>
      <c r="S25" s="25">
        <v>8399565.0199999996</v>
      </c>
      <c r="T25" s="25">
        <v>8056718.7000000002</v>
      </c>
      <c r="U25" s="40"/>
      <c r="V25" s="25">
        <v>8461442.3399999999</v>
      </c>
      <c r="W25" s="25">
        <f>SUM(8761841-547846)*1.04+547846</f>
        <v>9090400.8000000007</v>
      </c>
      <c r="X25" s="25">
        <f>SUM(W25-547846)*$AB$25+547846</f>
        <v>9432102.9920000006</v>
      </c>
      <c r="Y25" s="25">
        <f t="shared" ref="Y25:AA25" si="13">SUM(X25-547846)*$AB$25+547846</f>
        <v>9787473.2716800012</v>
      </c>
      <c r="Z25" s="25">
        <f t="shared" si="13"/>
        <v>10157058.362547202</v>
      </c>
      <c r="AA25" s="25">
        <f t="shared" si="13"/>
        <v>10541426.857049091</v>
      </c>
      <c r="AB25" s="61">
        <v>1.04</v>
      </c>
      <c r="AC25" s="43"/>
      <c r="AD25" s="44">
        <f t="shared" ref="AD25:AD33" si="14">SUM(V25/($V$34))</f>
        <v>0.49378031616028112</v>
      </c>
      <c r="AE25" s="44">
        <f t="shared" ref="AE25:AE33" si="15">SUM(W25/($W$34))</f>
        <v>0.49698323700794123</v>
      </c>
      <c r="AF25" s="44">
        <f t="shared" ref="AF25:AF33" si="16">SUM(X25/($X$34))</f>
        <v>0.49258993108860766</v>
      </c>
      <c r="AG25" s="44">
        <f t="shared" ref="AG25:AG33" si="17">SUM(Y25/($Y$34))</f>
        <v>0.5022692683859612</v>
      </c>
    </row>
    <row r="26" spans="1:33" s="24" customFormat="1" ht="15.6" customHeight="1">
      <c r="A26" s="5">
        <v>12</v>
      </c>
      <c r="B26" s="24" t="s">
        <v>37</v>
      </c>
      <c r="C26" s="25">
        <v>1229000</v>
      </c>
      <c r="D26" s="25">
        <v>1347000</v>
      </c>
      <c r="E26" s="25">
        <v>1502000</v>
      </c>
      <c r="F26" s="25">
        <v>1735000</v>
      </c>
      <c r="G26" s="25">
        <v>2060000</v>
      </c>
      <c r="H26" s="25">
        <v>2241000</v>
      </c>
      <c r="I26" s="25">
        <v>2490000</v>
      </c>
      <c r="J26" s="25">
        <v>2516000</v>
      </c>
      <c r="K26" s="25">
        <v>2638000</v>
      </c>
      <c r="L26" s="25">
        <v>2625000</v>
      </c>
      <c r="M26" s="25">
        <v>2767548</v>
      </c>
      <c r="N26" s="25">
        <v>2821724</v>
      </c>
      <c r="O26" s="25">
        <v>2464823.69</v>
      </c>
      <c r="P26" s="25">
        <v>2548996.11</v>
      </c>
      <c r="Q26" s="25">
        <v>2493811.04</v>
      </c>
      <c r="R26" s="40"/>
      <c r="S26" s="25">
        <v>2612400.29</v>
      </c>
      <c r="T26" s="25">
        <v>2620657.4700000002</v>
      </c>
      <c r="U26" s="40"/>
      <c r="V26" s="25">
        <v>2671426.88</v>
      </c>
      <c r="W26" s="25">
        <v>2915758</v>
      </c>
      <c r="X26" s="25">
        <f>SUM(W26*AB26)</f>
        <v>3061545.9</v>
      </c>
      <c r="Y26" s="25">
        <f>SUM(X26*AB26)</f>
        <v>3214623.1949999998</v>
      </c>
      <c r="Z26" s="25">
        <f t="shared" ref="Z26:Z28" si="18">SUM(Y26*AB26)</f>
        <v>3375354.3547499999</v>
      </c>
      <c r="AA26" s="25">
        <f>SUM(Z26*AB26)</f>
        <v>3544122.0724875</v>
      </c>
      <c r="AB26" s="61">
        <v>1.05</v>
      </c>
      <c r="AD26" s="44">
        <f t="shared" si="14"/>
        <v>0.15589517205236589</v>
      </c>
      <c r="AE26" s="44">
        <f t="shared" si="15"/>
        <v>0.15940802623046066</v>
      </c>
      <c r="AF26" s="44">
        <f t="shared" si="16"/>
        <v>0.159888699814317</v>
      </c>
      <c r="AG26" s="44">
        <f t="shared" si="17"/>
        <v>0.16496662575427365</v>
      </c>
    </row>
    <row r="27" spans="1:33" s="24" customFormat="1" ht="15.6" customHeight="1">
      <c r="A27" s="5">
        <v>13</v>
      </c>
      <c r="B27" s="24" t="s">
        <v>38</v>
      </c>
      <c r="C27" s="25">
        <v>815000</v>
      </c>
      <c r="D27" s="25">
        <v>912000</v>
      </c>
      <c r="E27" s="25">
        <v>826000</v>
      </c>
      <c r="F27" s="25">
        <v>864000</v>
      </c>
      <c r="G27" s="25">
        <v>888000</v>
      </c>
      <c r="H27" s="25">
        <v>1412000</v>
      </c>
      <c r="I27" s="25">
        <v>1191000</v>
      </c>
      <c r="J27" s="25">
        <v>1276000</v>
      </c>
      <c r="K27" s="25">
        <v>1335000</v>
      </c>
      <c r="L27" s="25">
        <v>1328000</v>
      </c>
      <c r="M27" s="25">
        <v>1524702</v>
      </c>
      <c r="N27" s="25">
        <v>1561183</v>
      </c>
      <c r="O27" s="25">
        <v>1673861.56</v>
      </c>
      <c r="P27" s="25">
        <v>1672894.38</v>
      </c>
      <c r="Q27" s="25">
        <v>1762155.51</v>
      </c>
      <c r="R27" s="40"/>
      <c r="S27" s="25">
        <v>2027032.57</v>
      </c>
      <c r="T27" s="25">
        <v>1908585.71</v>
      </c>
      <c r="U27" s="40"/>
      <c r="V27" s="25">
        <v>1681673.13</v>
      </c>
      <c r="W27" s="25">
        <v>1996350</v>
      </c>
      <c r="X27" s="25">
        <f>SUM(W27*AB27)</f>
        <v>2036277</v>
      </c>
      <c r="Y27" s="25">
        <f>SUM(X27*AB27)</f>
        <v>2077002.54</v>
      </c>
      <c r="Z27" s="25">
        <f t="shared" si="18"/>
        <v>2118542.5907999999</v>
      </c>
      <c r="AA27" s="25">
        <f>SUM(Z27*AB27)</f>
        <v>2160913.4426159998</v>
      </c>
      <c r="AB27" s="61">
        <v>1.02</v>
      </c>
      <c r="AD27" s="44">
        <f t="shared" si="14"/>
        <v>9.8136589064040047E-2</v>
      </c>
      <c r="AE27" s="44">
        <f t="shared" si="15"/>
        <v>0.10914287576855834</v>
      </c>
      <c r="AF27" s="44">
        <f t="shared" si="16"/>
        <v>0.10634421061327154</v>
      </c>
      <c r="AG27" s="44">
        <f t="shared" si="17"/>
        <v>0.10658670703297025</v>
      </c>
    </row>
    <row r="28" spans="1:33" s="24" customFormat="1" ht="15.6" customHeight="1">
      <c r="A28" s="5">
        <v>14</v>
      </c>
      <c r="B28" s="24" t="s">
        <v>39</v>
      </c>
      <c r="C28" s="25">
        <v>654000</v>
      </c>
      <c r="D28" s="25">
        <v>575000</v>
      </c>
      <c r="E28" s="25">
        <v>646000</v>
      </c>
      <c r="F28" s="25">
        <v>578000</v>
      </c>
      <c r="G28" s="25">
        <v>608000</v>
      </c>
      <c r="H28" s="25">
        <v>763000</v>
      </c>
      <c r="I28" s="25">
        <v>843000</v>
      </c>
      <c r="J28" s="25">
        <v>1000000</v>
      </c>
      <c r="K28" s="25">
        <v>807000</v>
      </c>
      <c r="L28" s="25">
        <v>738000</v>
      </c>
      <c r="M28" s="25">
        <v>646746</v>
      </c>
      <c r="N28" s="25">
        <v>687219</v>
      </c>
      <c r="O28" s="25">
        <v>725427.5</v>
      </c>
      <c r="P28" s="25">
        <v>731603.08</v>
      </c>
      <c r="Q28" s="25">
        <v>940808.78</v>
      </c>
      <c r="R28" s="40"/>
      <c r="S28" s="25">
        <v>653685.56999999995</v>
      </c>
      <c r="T28" s="25">
        <v>764042.76</v>
      </c>
      <c r="U28" s="40"/>
      <c r="V28" s="25">
        <v>694697.17</v>
      </c>
      <c r="W28" s="25">
        <v>892689</v>
      </c>
      <c r="X28" s="25">
        <f>SUM(W28*AB28)</f>
        <v>910542.78</v>
      </c>
      <c r="Y28" s="25">
        <f>SUM(X28*AB28)</f>
        <v>928753.63560000004</v>
      </c>
      <c r="Z28" s="25">
        <f t="shared" si="18"/>
        <v>947328.70831200003</v>
      </c>
      <c r="AA28" s="25">
        <f>SUM(Z28*AB28)</f>
        <v>966275.28247824009</v>
      </c>
      <c r="AB28" s="61">
        <v>1.02</v>
      </c>
      <c r="AD28" s="44">
        <f t="shared" si="14"/>
        <v>4.0540108229142953E-2</v>
      </c>
      <c r="AE28" s="44">
        <f t="shared" si="15"/>
        <v>4.8804390325823913E-2</v>
      </c>
      <c r="AF28" s="44">
        <f t="shared" si="16"/>
        <v>4.7552937625241445E-2</v>
      </c>
      <c r="AG28" s="44">
        <f t="shared" si="17"/>
        <v>4.7661372462020783E-2</v>
      </c>
    </row>
    <row r="29" spans="1:33" s="24" customFormat="1" ht="15.6" customHeight="1">
      <c r="A29" s="5">
        <v>15</v>
      </c>
      <c r="B29" s="24" t="s">
        <v>40</v>
      </c>
      <c r="C29" s="25">
        <v>579000</v>
      </c>
      <c r="D29" s="25">
        <v>86000</v>
      </c>
      <c r="E29" s="25">
        <v>136000</v>
      </c>
      <c r="F29" s="25">
        <v>44000</v>
      </c>
      <c r="G29" s="25">
        <v>68000</v>
      </c>
      <c r="H29" s="25">
        <v>229000</v>
      </c>
      <c r="I29" s="25">
        <v>312000</v>
      </c>
      <c r="J29" s="25">
        <v>90000</v>
      </c>
      <c r="K29" s="25">
        <v>157000</v>
      </c>
      <c r="L29" s="25">
        <v>91000</v>
      </c>
      <c r="M29" s="25">
        <v>151886</v>
      </c>
      <c r="N29" s="25">
        <v>120459</v>
      </c>
      <c r="O29" s="25">
        <v>251565.53</v>
      </c>
      <c r="P29" s="25">
        <v>157954.93</v>
      </c>
      <c r="Q29" s="25">
        <v>412322.07</v>
      </c>
      <c r="R29" s="40"/>
      <c r="S29" s="25">
        <v>1267377.68</v>
      </c>
      <c r="T29" s="25">
        <v>1088657.19</v>
      </c>
      <c r="U29" s="40"/>
      <c r="V29" s="25">
        <v>218996.62</v>
      </c>
      <c r="W29" s="25">
        <v>219661</v>
      </c>
      <c r="X29" s="25">
        <f>SUM(W29*AB29)+250000</f>
        <v>474054.22</v>
      </c>
      <c r="Y29" s="25">
        <f>SUM(W29*1.02)*AB29</f>
        <v>228535.30439999999</v>
      </c>
      <c r="Z29" s="25">
        <f>SUM(Y29*AB29)</f>
        <v>233106.010488</v>
      </c>
      <c r="AA29" s="25">
        <f>SUM(Z29*AB29)</f>
        <v>237768.13069776</v>
      </c>
      <c r="AB29" s="61">
        <v>1.02</v>
      </c>
      <c r="AD29" s="44">
        <f t="shared" si="14"/>
        <v>1.2779880298945929E-2</v>
      </c>
      <c r="AE29" s="44">
        <f t="shared" si="15"/>
        <v>1.2009133285344401E-2</v>
      </c>
      <c r="AF29" s="44">
        <f t="shared" si="16"/>
        <v>2.475739882824889E-2</v>
      </c>
      <c r="AG29" s="44">
        <f t="shared" si="17"/>
        <v>1.1727874698108688E-2</v>
      </c>
    </row>
    <row r="30" spans="1:33" s="24" customFormat="1" ht="15.6" customHeight="1">
      <c r="A30" s="5">
        <v>16</v>
      </c>
      <c r="B30" s="24" t="s">
        <v>41</v>
      </c>
      <c r="C30" s="25">
        <v>283000</v>
      </c>
      <c r="D30" s="25">
        <v>457000</v>
      </c>
      <c r="E30" s="25">
        <v>443000</v>
      </c>
      <c r="F30" s="25">
        <v>573000</v>
      </c>
      <c r="G30" s="25">
        <v>843000</v>
      </c>
      <c r="H30" s="25">
        <v>835000</v>
      </c>
      <c r="I30" s="25">
        <v>796000</v>
      </c>
      <c r="J30" s="25">
        <v>972000</v>
      </c>
      <c r="K30" s="25">
        <v>874000</v>
      </c>
      <c r="L30" s="25">
        <v>918000</v>
      </c>
      <c r="M30" s="25">
        <v>875214</v>
      </c>
      <c r="N30" s="25">
        <v>634186</v>
      </c>
      <c r="O30" s="25">
        <v>678165</v>
      </c>
      <c r="P30" s="25">
        <f>SUM(3021840.43-1166122.51-1225000)</f>
        <v>630717.92000000016</v>
      </c>
      <c r="Q30" s="25">
        <f>SUM(4274105.83-Q31-Q39)</f>
        <v>809043.15</v>
      </c>
      <c r="R30" s="40"/>
      <c r="S30" s="25">
        <v>643125.06999999995</v>
      </c>
      <c r="T30" s="25">
        <f>SUM(130048.26+7500.79+7466+4204.42+225+989+999.65+12692+18841+273287.26+198174.95)</f>
        <v>654428.33000000007</v>
      </c>
      <c r="U30" s="40"/>
      <c r="V30" s="25">
        <v>395188.16</v>
      </c>
      <c r="W30" s="25">
        <v>549978</v>
      </c>
      <c r="X30" s="25">
        <f>SUM(W30*AB30)</f>
        <v>560977.56000000006</v>
      </c>
      <c r="Y30" s="25">
        <f>SUM(X30*AB30)</f>
        <v>572197.11120000004</v>
      </c>
      <c r="Z30" s="25">
        <f>SUM(Y30*AB30)</f>
        <v>583641.05342400004</v>
      </c>
      <c r="AA30" s="25">
        <f>SUM(Z30*AB30)</f>
        <v>595313.87449248007</v>
      </c>
      <c r="AB30" s="61">
        <v>1.02</v>
      </c>
      <c r="AD30" s="44">
        <f t="shared" si="14"/>
        <v>2.3061805156448036E-2</v>
      </c>
      <c r="AE30" s="44">
        <f t="shared" si="15"/>
        <v>3.0067964299566798E-2</v>
      </c>
      <c r="AF30" s="44">
        <f t="shared" si="16"/>
        <v>2.9296955075345438E-2</v>
      </c>
      <c r="AG30" s="44">
        <f t="shared" si="17"/>
        <v>2.936376084382945E-2</v>
      </c>
    </row>
    <row r="31" spans="1:33" s="24" customFormat="1" ht="15.6" customHeight="1">
      <c r="A31" s="5">
        <v>17</v>
      </c>
      <c r="B31" s="24" t="s">
        <v>42</v>
      </c>
      <c r="C31" s="25">
        <v>878000</v>
      </c>
      <c r="D31" s="25">
        <v>893000</v>
      </c>
      <c r="E31" s="25">
        <v>2080000</v>
      </c>
      <c r="F31" s="25">
        <v>1096000</v>
      </c>
      <c r="G31" s="25">
        <v>1719000</v>
      </c>
      <c r="H31" s="25">
        <v>1835000</v>
      </c>
      <c r="I31" s="25">
        <v>2168000</v>
      </c>
      <c r="J31" s="25">
        <v>2160000</v>
      </c>
      <c r="K31" s="25">
        <v>2170000</v>
      </c>
      <c r="L31" s="25">
        <v>2956000</v>
      </c>
      <c r="M31" s="25">
        <v>2291729</v>
      </c>
      <c r="N31" s="25">
        <v>2295200</v>
      </c>
      <c r="O31" s="25">
        <f>SUM(1171549.61+1070000)</f>
        <v>2241549.6100000003</v>
      </c>
      <c r="P31" s="25">
        <f>SUM(1166122.51+1225000)</f>
        <v>2391122.5099999998</v>
      </c>
      <c r="Q31" s="25">
        <f>SUM(1664000+1153345.06)</f>
        <v>2817345.06</v>
      </c>
      <c r="R31" s="40"/>
      <c r="S31" s="25">
        <f>SUM(1096013.76+1445000)</f>
        <v>2541013.7599999998</v>
      </c>
      <c r="T31" s="25">
        <f>SUM(1179093.12+1312557.6)</f>
        <v>2491650.7200000002</v>
      </c>
      <c r="U31" s="40"/>
      <c r="V31" s="25">
        <f>SUM(1315449.96+1369070.05)</f>
        <v>2684520.01</v>
      </c>
      <c r="W31" s="25">
        <v>2626325</v>
      </c>
      <c r="X31" s="25">
        <f>SUM(2189196.88+483284.38)</f>
        <v>2672481.2599999998</v>
      </c>
      <c r="Y31" s="25">
        <f>SUM(2223284.38+454636.88)</f>
        <v>2677921.2599999998</v>
      </c>
      <c r="Z31" s="25">
        <f>SUM(2324636.88+419350.63)</f>
        <v>2743987.51</v>
      </c>
      <c r="AA31" s="25">
        <f>SUM(2389350.63+378093.13)</f>
        <v>2767443.76</v>
      </c>
      <c r="AB31" s="59"/>
      <c r="AD31" s="44">
        <f t="shared" si="14"/>
        <v>0.15665924153498409</v>
      </c>
      <c r="AE31" s="44">
        <f t="shared" si="15"/>
        <v>0.14358437308230471</v>
      </c>
      <c r="AF31" s="44">
        <f t="shared" si="16"/>
        <v>0.13956986695496795</v>
      </c>
      <c r="AG31" s="44">
        <f t="shared" si="17"/>
        <v>0.13742439082283575</v>
      </c>
    </row>
    <row r="32" spans="1:33" s="24" customFormat="1" ht="15.6" customHeight="1">
      <c r="A32" s="5">
        <v>18</v>
      </c>
      <c r="B32" s="24" t="s">
        <v>43</v>
      </c>
      <c r="C32" s="25">
        <v>72000</v>
      </c>
      <c r="D32" s="25">
        <v>74000</v>
      </c>
      <c r="E32" s="25">
        <v>34000</v>
      </c>
      <c r="F32" s="25">
        <v>48000</v>
      </c>
      <c r="G32" s="25">
        <v>37000</v>
      </c>
      <c r="H32" s="25">
        <v>264000</v>
      </c>
      <c r="I32" s="25">
        <v>39000</v>
      </c>
      <c r="J32" s="25">
        <v>59000</v>
      </c>
      <c r="K32" s="25">
        <v>49000</v>
      </c>
      <c r="L32" s="25">
        <v>172000</v>
      </c>
      <c r="M32" s="25">
        <v>184641</v>
      </c>
      <c r="N32" s="25">
        <v>31476</v>
      </c>
      <c r="O32" s="25">
        <f>SUM(7162853.07-O30-O31-O33)</f>
        <v>17602.459999999963</v>
      </c>
      <c r="P32" s="25">
        <v>0</v>
      </c>
      <c r="Q32" s="25">
        <f>SUM(88784.76+101560.08+26915.77+430457.01)</f>
        <v>647717.62</v>
      </c>
      <c r="R32" s="40"/>
      <c r="S32" s="25">
        <v>1617075.28</v>
      </c>
      <c r="T32" s="25">
        <f>+T39</f>
        <v>1207759.1500000001</v>
      </c>
      <c r="U32" s="40"/>
      <c r="V32" s="25">
        <f>+V39</f>
        <v>328093.49</v>
      </c>
      <c r="W32" s="25">
        <f>SUM(W39)</f>
        <v>0</v>
      </c>
      <c r="X32" s="25">
        <f>SUM(X39)</f>
        <v>0</v>
      </c>
      <c r="Y32" s="25">
        <f>SUM(Y39)</f>
        <v>0</v>
      </c>
      <c r="Z32" s="25">
        <f t="shared" ref="Z32:AA32" si="19">SUM(Z39)</f>
        <v>0</v>
      </c>
      <c r="AA32" s="25">
        <f t="shared" si="19"/>
        <v>0</v>
      </c>
      <c r="AB32" s="59"/>
      <c r="AD32" s="44">
        <f t="shared" si="14"/>
        <v>1.9146393807646041E-2</v>
      </c>
      <c r="AE32" s="44">
        <f t="shared" si="15"/>
        <v>0</v>
      </c>
      <c r="AF32" s="44">
        <f t="shared" si="16"/>
        <v>0</v>
      </c>
      <c r="AG32" s="44">
        <f t="shared" si="17"/>
        <v>0</v>
      </c>
    </row>
    <row r="33" spans="1:33" s="24" customFormat="1" ht="15.6" customHeight="1">
      <c r="A33" s="5">
        <v>19</v>
      </c>
      <c r="B33" s="26" t="s">
        <v>44</v>
      </c>
      <c r="C33" s="25"/>
      <c r="D33" s="25"/>
      <c r="E33" s="25"/>
      <c r="F33" s="25"/>
      <c r="G33" s="25"/>
      <c r="H33" s="25"/>
      <c r="I33" s="25"/>
      <c r="J33" s="25"/>
      <c r="K33" s="25">
        <v>0</v>
      </c>
      <c r="L33" s="25">
        <v>0</v>
      </c>
      <c r="M33" s="25">
        <v>0</v>
      </c>
      <c r="N33" s="25">
        <v>0</v>
      </c>
      <c r="O33" s="25">
        <f>SUM(53700+4171836)</f>
        <v>4225536</v>
      </c>
      <c r="P33" s="25">
        <v>0</v>
      </c>
      <c r="Q33" s="25">
        <v>0</v>
      </c>
      <c r="R33" s="40"/>
      <c r="S33" s="25">
        <v>0</v>
      </c>
      <c r="T33" s="25">
        <f>SUM(6017375.39+28521.8)</f>
        <v>6045897.1899999995</v>
      </c>
      <c r="U33" s="40"/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59"/>
      <c r="AD33" s="44">
        <f t="shared" si="14"/>
        <v>0</v>
      </c>
      <c r="AE33" s="44">
        <f t="shared" si="15"/>
        <v>0</v>
      </c>
      <c r="AF33" s="44">
        <f t="shared" si="16"/>
        <v>0</v>
      </c>
      <c r="AG33" s="44">
        <f t="shared" si="17"/>
        <v>0</v>
      </c>
    </row>
    <row r="34" spans="1:33" s="24" customFormat="1" ht="16.7" customHeight="1" thickBot="1">
      <c r="A34" s="5">
        <v>20</v>
      </c>
      <c r="B34" s="28" t="s">
        <v>45</v>
      </c>
      <c r="C34" s="29">
        <f t="shared" ref="C34:J34" si="20">SUM(C25:C32)</f>
        <v>10992000</v>
      </c>
      <c r="D34" s="29">
        <f t="shared" si="20"/>
        <v>11293000</v>
      </c>
      <c r="E34" s="29">
        <f t="shared" si="20"/>
        <v>13010000</v>
      </c>
      <c r="F34" s="29">
        <f t="shared" si="20"/>
        <v>12789000</v>
      </c>
      <c r="G34" s="29">
        <f t="shared" si="20"/>
        <v>14229000</v>
      </c>
      <c r="H34" s="29">
        <f t="shared" si="20"/>
        <v>15922000</v>
      </c>
      <c r="I34" s="29">
        <f t="shared" si="20"/>
        <v>16280000</v>
      </c>
      <c r="J34" s="29">
        <f t="shared" si="20"/>
        <v>16823000</v>
      </c>
      <c r="K34" s="29">
        <f t="shared" ref="K34:Q34" si="21">SUM(K25:K33)</f>
        <v>17277000</v>
      </c>
      <c r="L34" s="29">
        <f t="shared" si="21"/>
        <v>17846000</v>
      </c>
      <c r="M34" s="29">
        <f t="shared" si="21"/>
        <v>17674147</v>
      </c>
      <c r="N34" s="29">
        <f t="shared" si="21"/>
        <v>16243609</v>
      </c>
      <c r="O34" s="29">
        <f t="shared" si="21"/>
        <v>20273159.650000002</v>
      </c>
      <c r="P34" s="29">
        <f t="shared" si="21"/>
        <v>16288236.199999997</v>
      </c>
      <c r="Q34" s="29">
        <f t="shared" si="21"/>
        <v>18100246.289999999</v>
      </c>
      <c r="R34" s="41"/>
      <c r="S34" s="29">
        <f t="shared" ref="S34:Z34" si="22">SUM(S25:S32)</f>
        <v>19761275.240000002</v>
      </c>
      <c r="T34" s="29">
        <f>SUM(T25:T33)</f>
        <v>24838397.219999999</v>
      </c>
      <c r="U34" s="41"/>
      <c r="V34" s="29">
        <f>SUM(V25:V32)+8.46</f>
        <v>17136046.259999994</v>
      </c>
      <c r="W34" s="29">
        <f t="shared" si="22"/>
        <v>18291161.800000001</v>
      </c>
      <c r="X34" s="29">
        <f t="shared" si="22"/>
        <v>19147981.712000001</v>
      </c>
      <c r="Y34" s="29">
        <f t="shared" si="22"/>
        <v>19486506.317880005</v>
      </c>
      <c r="Z34" s="29">
        <f t="shared" si="22"/>
        <v>20159018.590321206</v>
      </c>
      <c r="AA34" s="29">
        <f t="shared" ref="AA34" si="23">SUM(AA25:AA32)</f>
        <v>20813263.419821069</v>
      </c>
      <c r="AB34" s="59"/>
      <c r="AD34" s="44"/>
      <c r="AE34" s="44"/>
    </row>
    <row r="35" spans="1:33" s="24" customFormat="1" ht="6.75" customHeight="1" thickTop="1">
      <c r="A35" s="5"/>
      <c r="B35" s="2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0"/>
      <c r="S35" s="25"/>
      <c r="T35" s="25"/>
      <c r="U35" s="40"/>
      <c r="V35" s="25"/>
      <c r="W35" s="25"/>
      <c r="X35" s="25"/>
      <c r="Y35" s="25"/>
      <c r="Z35" s="25"/>
      <c r="AA35" s="25"/>
      <c r="AB35" s="59"/>
      <c r="AD35" s="44"/>
      <c r="AE35" s="44"/>
    </row>
    <row r="36" spans="1:33" s="28" customFormat="1" ht="18" customHeight="1">
      <c r="A36" s="5">
        <v>21</v>
      </c>
      <c r="B36" s="30" t="s">
        <v>46</v>
      </c>
      <c r="C36" s="31">
        <f t="shared" ref="C36:AA36" si="24">C22-C34</f>
        <v>-194000</v>
      </c>
      <c r="D36" s="31">
        <f t="shared" si="24"/>
        <v>-861000</v>
      </c>
      <c r="E36" s="31">
        <f t="shared" si="24"/>
        <v>-2144000</v>
      </c>
      <c r="F36" s="31">
        <f t="shared" si="24"/>
        <v>-1145000</v>
      </c>
      <c r="G36" s="31">
        <f t="shared" si="24"/>
        <v>-2005000</v>
      </c>
      <c r="H36" s="31">
        <f t="shared" si="24"/>
        <v>-3156000</v>
      </c>
      <c r="I36" s="31">
        <f t="shared" si="24"/>
        <v>-364000</v>
      </c>
      <c r="J36" s="31">
        <f t="shared" si="24"/>
        <v>-2430000</v>
      </c>
      <c r="K36" s="31">
        <f t="shared" si="24"/>
        <v>-1706000</v>
      </c>
      <c r="L36" s="31">
        <f t="shared" si="24"/>
        <v>-1225000</v>
      </c>
      <c r="M36" s="31">
        <f t="shared" si="24"/>
        <v>-425613</v>
      </c>
      <c r="N36" s="31">
        <f t="shared" si="24"/>
        <v>84377</v>
      </c>
      <c r="O36" s="31">
        <f t="shared" si="24"/>
        <v>68354.39999999851</v>
      </c>
      <c r="P36" s="31">
        <f t="shared" si="24"/>
        <v>225382.62000000104</v>
      </c>
      <c r="Q36" s="31">
        <f t="shared" si="24"/>
        <v>-546403.85000000149</v>
      </c>
      <c r="R36" s="42"/>
      <c r="S36" s="31">
        <f t="shared" si="24"/>
        <v>-2812500.4100000039</v>
      </c>
      <c r="T36" s="31">
        <f t="shared" si="24"/>
        <v>-1577262.5</v>
      </c>
      <c r="U36" s="42"/>
      <c r="V36" s="31">
        <f t="shared" si="24"/>
        <v>1696714.7600000054</v>
      </c>
      <c r="W36" s="31">
        <f t="shared" si="24"/>
        <v>329756.3200000003</v>
      </c>
      <c r="X36" s="31">
        <f t="shared" si="24"/>
        <v>-577735.71049999818</v>
      </c>
      <c r="Y36" s="31">
        <f t="shared" si="24"/>
        <v>-640974.38344250619</v>
      </c>
      <c r="Z36" s="31">
        <f t="shared" si="24"/>
        <v>-969236.21964477003</v>
      </c>
      <c r="AA36" s="31">
        <f t="shared" si="24"/>
        <v>-1314360.3442971632</v>
      </c>
      <c r="AB36" s="63"/>
      <c r="AD36" s="46"/>
      <c r="AE36" s="46"/>
    </row>
    <row r="37" spans="1:33" s="24" customFormat="1" ht="6.75" customHeight="1">
      <c r="A37" s="5"/>
      <c r="B37" s="28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0"/>
      <c r="S37" s="25"/>
      <c r="T37" s="25"/>
      <c r="U37" s="40"/>
      <c r="V37" s="25"/>
      <c r="W37" s="25"/>
      <c r="X37" s="25"/>
      <c r="Y37" s="25"/>
      <c r="Z37" s="25"/>
      <c r="AA37" s="25"/>
      <c r="AB37" s="59"/>
      <c r="AD37" s="44"/>
      <c r="AE37" s="44"/>
    </row>
    <row r="38" spans="1:33" s="28" customFormat="1" ht="12.75">
      <c r="A38" s="5">
        <v>22</v>
      </c>
      <c r="B38" s="24" t="s">
        <v>47</v>
      </c>
      <c r="C38" s="25"/>
      <c r="D38" s="25">
        <v>2000000</v>
      </c>
      <c r="E38" s="25"/>
      <c r="F38" s="25">
        <v>15329000</v>
      </c>
      <c r="G38" s="25"/>
      <c r="H38" s="25">
        <v>3740000</v>
      </c>
      <c r="I38" s="25"/>
      <c r="J38" s="25"/>
      <c r="K38" s="25">
        <v>7000000</v>
      </c>
      <c r="L38" s="25"/>
      <c r="M38" s="25"/>
      <c r="N38" s="25"/>
      <c r="O38" s="25"/>
      <c r="P38" s="25"/>
      <c r="Q38" s="25">
        <v>446500</v>
      </c>
      <c r="R38" s="40"/>
      <c r="S38" s="25"/>
      <c r="T38" s="25">
        <v>3790000</v>
      </c>
      <c r="U38" s="40"/>
      <c r="V38" s="25"/>
      <c r="W38" s="25"/>
      <c r="X38" s="25"/>
      <c r="Y38" s="25"/>
      <c r="Z38" s="25"/>
      <c r="AA38" s="25"/>
      <c r="AB38" s="63"/>
      <c r="AD38" s="46"/>
      <c r="AE38" s="46"/>
    </row>
    <row r="39" spans="1:33" s="28" customFormat="1" ht="12.75">
      <c r="A39" s="5">
        <v>23</v>
      </c>
      <c r="B39" s="24" t="s">
        <v>48</v>
      </c>
      <c r="C39" s="25"/>
      <c r="D39" s="25"/>
      <c r="E39" s="25"/>
      <c r="F39" s="25"/>
      <c r="G39" s="25"/>
      <c r="H39" s="25">
        <v>12986000</v>
      </c>
      <c r="I39" s="25">
        <v>1443000</v>
      </c>
      <c r="J39" s="25"/>
      <c r="K39" s="25"/>
      <c r="L39" s="25"/>
      <c r="M39" s="25"/>
      <c r="N39" s="25"/>
      <c r="O39" s="25"/>
      <c r="P39" s="25"/>
      <c r="Q39" s="25">
        <f>SUM(88784.76+101560.08+26915.77+430457.01)</f>
        <v>647717.62</v>
      </c>
      <c r="R39" s="40"/>
      <c r="S39" s="25">
        <v>1617075.28</v>
      </c>
      <c r="T39" s="25">
        <f>SUM(207410.19+490397.69+13511+428697.91+67742.36)</f>
        <v>1207759.1500000001</v>
      </c>
      <c r="U39" s="40"/>
      <c r="V39" s="25">
        <v>328093.49</v>
      </c>
      <c r="W39" s="25">
        <v>0</v>
      </c>
      <c r="X39" s="25">
        <f>+W39</f>
        <v>0</v>
      </c>
      <c r="Y39" s="25">
        <f>+X39</f>
        <v>0</v>
      </c>
      <c r="Z39" s="25">
        <f>+Y39</f>
        <v>0</v>
      </c>
      <c r="AA39" s="25">
        <f>+Z39</f>
        <v>0</v>
      </c>
      <c r="AB39" s="63"/>
      <c r="AD39" s="46"/>
      <c r="AE39" s="46"/>
    </row>
    <row r="40" spans="1:33" s="28" customFormat="1" ht="12.75">
      <c r="A40" s="5">
        <v>24</v>
      </c>
      <c r="B40" s="24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>
        <v>454773.21</v>
      </c>
      <c r="R40" s="40"/>
      <c r="S40" s="25"/>
      <c r="T40" s="25"/>
      <c r="U40" s="40"/>
      <c r="V40" s="25"/>
      <c r="W40" s="25"/>
      <c r="X40" s="25"/>
      <c r="Y40" s="25"/>
      <c r="Z40" s="25"/>
      <c r="AA40" s="25"/>
      <c r="AB40" s="63"/>
      <c r="AD40" s="46"/>
      <c r="AE40" s="46"/>
    </row>
    <row r="41" spans="1:33" s="28" customFormat="1" ht="12.75">
      <c r="A41" s="5">
        <v>25</v>
      </c>
      <c r="B41" s="24" t="s">
        <v>50</v>
      </c>
      <c r="C41" s="25"/>
      <c r="D41" s="25"/>
      <c r="E41" s="25"/>
      <c r="F41" s="25"/>
      <c r="G41" s="25"/>
      <c r="H41" s="25"/>
      <c r="I41" s="25">
        <v>1135000</v>
      </c>
      <c r="J41" s="25"/>
      <c r="K41" s="25"/>
      <c r="L41" s="25">
        <v>200000</v>
      </c>
      <c r="M41" s="25">
        <v>200000</v>
      </c>
      <c r="N41" s="25">
        <v>200000</v>
      </c>
      <c r="O41" s="25">
        <v>200000</v>
      </c>
      <c r="P41" s="25">
        <v>200000</v>
      </c>
      <c r="Q41" s="25"/>
      <c r="R41" s="40"/>
      <c r="S41" s="25"/>
      <c r="T41" s="25"/>
      <c r="U41" s="40"/>
      <c r="V41" s="25"/>
      <c r="W41" s="25"/>
      <c r="X41" s="25"/>
      <c r="Y41" s="25"/>
      <c r="Z41" s="25"/>
      <c r="AA41" s="25"/>
      <c r="AB41" s="63"/>
      <c r="AD41" s="46"/>
      <c r="AE41" s="46"/>
    </row>
    <row r="42" spans="1:33" s="28" customFormat="1" ht="12.75">
      <c r="A42" s="5">
        <v>26</v>
      </c>
      <c r="B42" s="24" t="s">
        <v>43</v>
      </c>
      <c r="C42" s="25"/>
      <c r="D42" s="25">
        <v>-1653000</v>
      </c>
      <c r="E42" s="25"/>
      <c r="F42" s="25">
        <v>-2958000</v>
      </c>
      <c r="G42" s="25">
        <v>-2654000</v>
      </c>
      <c r="H42" s="25">
        <v>-17350000</v>
      </c>
      <c r="I42" s="25">
        <v>-3936000</v>
      </c>
      <c r="J42" s="25">
        <v>-465000</v>
      </c>
      <c r="K42" s="25"/>
      <c r="L42" s="25"/>
      <c r="M42" s="25"/>
      <c r="N42" s="25"/>
      <c r="O42" s="25"/>
      <c r="P42" s="25"/>
      <c r="Q42" s="25"/>
      <c r="R42" s="40"/>
      <c r="S42" s="25"/>
      <c r="T42" s="25"/>
      <c r="U42" s="40"/>
      <c r="V42" s="25"/>
      <c r="W42" s="25"/>
      <c r="X42" s="25"/>
      <c r="Y42" s="25"/>
      <c r="Z42" s="25"/>
      <c r="AA42" s="25"/>
      <c r="AB42" s="63"/>
      <c r="AD42" s="46"/>
      <c r="AE42" s="46"/>
    </row>
    <row r="43" spans="1:33" s="24" customFormat="1" ht="18" customHeight="1">
      <c r="A43" s="5">
        <v>27</v>
      </c>
      <c r="B43" s="32" t="s">
        <v>51</v>
      </c>
      <c r="C43" s="31">
        <f t="shared" ref="C43:N43" si="25">C13+C22-C34+C38+C39+C41+C42</f>
        <v>7795000</v>
      </c>
      <c r="D43" s="31">
        <f t="shared" si="25"/>
        <v>7281000</v>
      </c>
      <c r="E43" s="31">
        <f t="shared" si="25"/>
        <v>5137000</v>
      </c>
      <c r="F43" s="31">
        <f t="shared" si="25"/>
        <v>16363000</v>
      </c>
      <c r="G43" s="31">
        <f t="shared" si="25"/>
        <v>11704000</v>
      </c>
      <c r="H43" s="31">
        <f t="shared" si="25"/>
        <v>7924000</v>
      </c>
      <c r="I43" s="31">
        <f t="shared" si="25"/>
        <v>6202000</v>
      </c>
      <c r="J43" s="31">
        <f t="shared" si="25"/>
        <v>3307000</v>
      </c>
      <c r="K43" s="31">
        <f t="shared" si="25"/>
        <v>8601000</v>
      </c>
      <c r="L43" s="31">
        <f t="shared" si="25"/>
        <v>7576000</v>
      </c>
      <c r="M43" s="31">
        <f t="shared" si="25"/>
        <v>7350387</v>
      </c>
      <c r="N43" s="31">
        <f t="shared" si="25"/>
        <v>7634764</v>
      </c>
      <c r="O43" s="31">
        <f>O13+O22-O34+O38+O39+O41+O42+9287</f>
        <v>7912299.4299999997</v>
      </c>
      <c r="P43" s="31">
        <f>P13+P22-P34+P38+P39+P40+P41+P42-3598</f>
        <v>8334084.0500000026</v>
      </c>
      <c r="Q43" s="31">
        <f>Q13+Q22-Q34+Q38+Q39+Q40+Q41+Q42-1163</f>
        <v>9335508.0300000031</v>
      </c>
      <c r="R43" s="42"/>
      <c r="S43" s="31">
        <f>S13+S22-S34+S38+S39+S41+S42-799.25</f>
        <v>8139283.6499999976</v>
      </c>
      <c r="T43" s="31">
        <f>T13+T22-T34+T38+T39+T41+T42+4875</f>
        <v>11564655.299999999</v>
      </c>
      <c r="U43" s="42"/>
      <c r="V43" s="31">
        <f t="shared" ref="V43:AA43" si="26">V13+V22-V34+V38+V39+V41+V42</f>
        <v>13589463.550000006</v>
      </c>
      <c r="W43" s="31">
        <f t="shared" si="26"/>
        <v>13919219.870000008</v>
      </c>
      <c r="X43" s="31">
        <f t="shared" si="26"/>
        <v>13341484.15950001</v>
      </c>
      <c r="Y43" s="31">
        <f t="shared" si="26"/>
        <v>12700509.776057504</v>
      </c>
      <c r="Z43" s="31">
        <f t="shared" si="26"/>
        <v>11731273.556412734</v>
      </c>
      <c r="AA43" s="31">
        <f t="shared" si="26"/>
        <v>10416913.212115571</v>
      </c>
      <c r="AB43" s="63"/>
      <c r="AC43" s="28"/>
      <c r="AD43" s="46"/>
      <c r="AE43" s="44"/>
    </row>
    <row r="44" spans="1:33" s="24" customFormat="1" ht="6" customHeight="1">
      <c r="A44" s="5"/>
      <c r="B44" s="3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38"/>
      <c r="S44" s="20"/>
      <c r="T44" s="20"/>
      <c r="U44" s="38"/>
      <c r="V44" s="20"/>
      <c r="W44" s="20"/>
      <c r="X44" s="20"/>
      <c r="Y44" s="20"/>
      <c r="Z44" s="20"/>
      <c r="AA44" s="20"/>
      <c r="AB44" s="63"/>
      <c r="AC44" s="28"/>
      <c r="AD44" s="46"/>
      <c r="AE44" s="44"/>
    </row>
    <row r="45" spans="1:33" s="7" customFormat="1" ht="15">
      <c r="A45" s="34" t="s">
        <v>52</v>
      </c>
      <c r="B45" s="65" t="s">
        <v>53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34"/>
      <c r="Q45" s="56"/>
      <c r="R45" s="52"/>
      <c r="S45" s="52"/>
      <c r="T45" s="34" t="s">
        <v>52</v>
      </c>
      <c r="U45" s="52"/>
      <c r="V45" s="66" t="s">
        <v>54</v>
      </c>
      <c r="W45" s="52"/>
      <c r="X45" s="52"/>
      <c r="Y45" s="52"/>
      <c r="Z45" s="52"/>
      <c r="AA45" s="52"/>
      <c r="AB45" s="63"/>
      <c r="AC45" s="28"/>
      <c r="AD45" s="46"/>
      <c r="AE45" s="44"/>
    </row>
    <row r="46" spans="1:33" s="7" customFormat="1" ht="12.75">
      <c r="A46" s="5">
        <v>3</v>
      </c>
      <c r="B46" s="6" t="s">
        <v>55</v>
      </c>
      <c r="C46" s="52"/>
      <c r="D46" s="52"/>
      <c r="E46" s="5"/>
      <c r="F46" s="55"/>
      <c r="G46" s="52"/>
      <c r="H46" s="52"/>
      <c r="I46" s="52"/>
      <c r="J46" s="52"/>
      <c r="K46" s="52"/>
      <c r="L46" s="52"/>
      <c r="M46" s="5"/>
      <c r="N46" s="55"/>
      <c r="O46" s="52"/>
      <c r="P46" s="5"/>
      <c r="Q46" s="57"/>
      <c r="R46" s="52"/>
      <c r="S46" s="52"/>
      <c r="T46" s="5">
        <v>11</v>
      </c>
      <c r="U46" s="52"/>
      <c r="V46" s="57" t="s">
        <v>56</v>
      </c>
      <c r="W46" s="52"/>
      <c r="X46" s="52"/>
      <c r="Y46" s="52"/>
      <c r="Z46" s="52"/>
      <c r="AA46" s="52"/>
      <c r="AB46" s="63"/>
      <c r="AC46" s="28"/>
      <c r="AD46" s="46"/>
      <c r="AE46" s="44"/>
    </row>
    <row r="47" spans="1:33" s="7" customFormat="1" ht="12.75">
      <c r="A47" s="5">
        <v>4</v>
      </c>
      <c r="B47" s="6" t="s">
        <v>57</v>
      </c>
      <c r="C47" s="52"/>
      <c r="D47" s="52"/>
      <c r="E47" s="5"/>
      <c r="F47" s="55"/>
      <c r="G47" s="52"/>
      <c r="H47" s="52"/>
      <c r="I47" s="52"/>
      <c r="J47" s="52"/>
      <c r="K47" s="52"/>
      <c r="L47" s="52"/>
      <c r="M47" s="5"/>
      <c r="N47" s="55"/>
      <c r="O47" s="52"/>
      <c r="P47" s="5"/>
      <c r="Q47" s="57"/>
      <c r="R47" s="52"/>
      <c r="S47" s="52"/>
      <c r="T47" s="5">
        <v>12</v>
      </c>
      <c r="U47" s="52"/>
      <c r="V47" s="57" t="s">
        <v>58</v>
      </c>
      <c r="W47" s="52"/>
      <c r="X47" s="52"/>
      <c r="Y47" s="52"/>
      <c r="Z47" s="52"/>
      <c r="AA47" s="52"/>
      <c r="AB47" s="63"/>
      <c r="AC47" s="28"/>
      <c r="AD47" s="46"/>
      <c r="AE47" s="44"/>
    </row>
    <row r="48" spans="1:33" s="7" customFormat="1" ht="12.75">
      <c r="A48" s="5">
        <v>5</v>
      </c>
      <c r="B48" s="6" t="s">
        <v>59</v>
      </c>
      <c r="C48" s="52"/>
      <c r="D48" s="52"/>
      <c r="E48" s="5"/>
      <c r="F48" s="55"/>
      <c r="G48" s="52"/>
      <c r="H48" s="52"/>
      <c r="I48" s="52"/>
      <c r="J48" s="52"/>
      <c r="K48" s="52"/>
      <c r="L48" s="52"/>
      <c r="M48" s="5"/>
      <c r="N48" s="55"/>
      <c r="O48" s="52"/>
      <c r="P48" s="5"/>
      <c r="Q48" s="57"/>
      <c r="R48" s="52"/>
      <c r="S48" s="52"/>
      <c r="T48" s="5" t="s">
        <v>60</v>
      </c>
      <c r="U48" s="52"/>
      <c r="V48" s="57" t="s">
        <v>61</v>
      </c>
      <c r="W48" s="52"/>
      <c r="X48" s="52"/>
      <c r="Y48" s="52"/>
      <c r="Z48" s="52"/>
      <c r="AA48" s="52"/>
      <c r="AB48" s="63"/>
      <c r="AC48" s="28"/>
      <c r="AD48" s="46"/>
      <c r="AE48" s="44"/>
    </row>
    <row r="49" spans="1:31" s="7" customFormat="1" ht="12.75">
      <c r="A49" s="5" t="s">
        <v>62</v>
      </c>
      <c r="B49" s="6" t="s">
        <v>63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"/>
      <c r="Q49" s="57"/>
      <c r="R49" s="52"/>
      <c r="S49" s="52"/>
      <c r="T49" s="5">
        <v>17</v>
      </c>
      <c r="U49" s="52"/>
      <c r="V49" s="57" t="s">
        <v>64</v>
      </c>
      <c r="W49" s="52"/>
      <c r="X49" s="52"/>
      <c r="Y49" s="52"/>
      <c r="Z49" s="52"/>
      <c r="AA49" s="52"/>
      <c r="AB49" s="63"/>
      <c r="AC49" s="28"/>
      <c r="AD49" s="46"/>
      <c r="AE49" s="44"/>
    </row>
    <row r="50" spans="1:31" ht="12.75">
      <c r="A50" s="5"/>
      <c r="B50" s="6"/>
      <c r="P50" s="5"/>
      <c r="Q50" s="55"/>
      <c r="AB50" s="63"/>
      <c r="AC50" s="28"/>
      <c r="AD50" s="46"/>
    </row>
    <row r="51" spans="1:31" ht="12.75">
      <c r="A51" s="5"/>
      <c r="B51" s="6"/>
      <c r="AB51" s="63"/>
      <c r="AC51" s="28"/>
      <c r="AD51" s="46"/>
    </row>
    <row r="52" spans="1:31" ht="12.75">
      <c r="A52" s="5"/>
      <c r="B52" s="6"/>
      <c r="AB52" s="63"/>
      <c r="AC52" s="28"/>
      <c r="AD52" s="46"/>
    </row>
    <row r="53" spans="1:31" ht="12.75">
      <c r="AB53" s="63"/>
      <c r="AC53" s="28"/>
      <c r="AD53" s="46"/>
    </row>
    <row r="54" spans="1:31" ht="12.75">
      <c r="AB54" s="63"/>
      <c r="AC54" s="28"/>
      <c r="AD54" s="46"/>
    </row>
    <row r="55" spans="1:31" ht="12.75">
      <c r="AB55" s="63"/>
      <c r="AC55" s="28"/>
      <c r="AD55" s="46"/>
    </row>
    <row r="56" spans="1:31" ht="12.75">
      <c r="AB56" s="63"/>
      <c r="AC56" s="28"/>
      <c r="AD56" s="46"/>
    </row>
    <row r="57" spans="1:31" ht="12.75">
      <c r="AB57" s="63"/>
      <c r="AC57" s="28"/>
      <c r="AD57" s="46"/>
    </row>
    <row r="58" spans="1:31" ht="12.75">
      <c r="AB58" s="63"/>
      <c r="AC58" s="28"/>
      <c r="AD58" s="46"/>
    </row>
    <row r="59" spans="1:31" ht="12.75">
      <c r="AB59" s="63"/>
      <c r="AC59" s="28"/>
      <c r="AD59" s="46"/>
    </row>
    <row r="60" spans="1:31" ht="12.75">
      <c r="AB60" s="63"/>
      <c r="AC60" s="28"/>
      <c r="AD60" s="46"/>
    </row>
    <row r="61" spans="1:31" ht="12.75">
      <c r="AB61" s="63"/>
      <c r="AC61" s="28"/>
      <c r="AD61" s="46"/>
    </row>
    <row r="62" spans="1:31" ht="12.75">
      <c r="AB62" s="63"/>
      <c r="AC62" s="28"/>
      <c r="AD62" s="46"/>
    </row>
    <row r="63" spans="1:31" ht="12.75">
      <c r="AB63" s="63"/>
      <c r="AC63" s="28"/>
      <c r="AD63" s="46"/>
    </row>
    <row r="64" spans="1:31" ht="12.75">
      <c r="AB64" s="63"/>
      <c r="AC64" s="28"/>
      <c r="AD64" s="46"/>
    </row>
    <row r="65" spans="28:30" ht="12.75">
      <c r="AB65" s="63"/>
      <c r="AC65" s="28"/>
      <c r="AD65" s="46"/>
    </row>
    <row r="66" spans="28:30" ht="12.75">
      <c r="AB66" s="63"/>
      <c r="AC66" s="28"/>
      <c r="AD66" s="46"/>
    </row>
  </sheetData>
  <printOptions horizontalCentered="1"/>
  <pageMargins left="0" right="0" top="0" bottom="0.5" header="0.5" footer="0.15"/>
  <pageSetup paperSize="5" scale="87" orientation="landscape" verticalDpi="300" r:id="rId1"/>
  <headerFooter>
    <oddFooter>Page &amp;P&amp;R&amp;A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AG66"/>
  <sheetViews>
    <sheetView showRuler="0" zoomScale="120" zoomScaleNormal="120" zoomScalePageLayoutView="150" workbookViewId="0">
      <selection activeCell="W25" sqref="W25"/>
    </sheetView>
  </sheetViews>
  <sheetFormatPr defaultRowHeight="12"/>
  <cols>
    <col min="1" max="1" width="5.42578125" style="3" bestFit="1" customWidth="1"/>
    <col min="2" max="2" width="34.7109375" style="1" customWidth="1"/>
    <col min="3" max="5" width="10.42578125" style="47" hidden="1" customWidth="1"/>
    <col min="6" max="6" width="10.28515625" style="47" hidden="1" customWidth="1"/>
    <col min="7" max="7" width="10.42578125" style="47" hidden="1" customWidth="1"/>
    <col min="8" max="8" width="11" style="47" hidden="1" customWidth="1"/>
    <col min="9" max="13" width="10.42578125" style="47" hidden="1" customWidth="1"/>
    <col min="14" max="15" width="13.7109375" style="47" hidden="1" customWidth="1"/>
    <col min="16" max="17" width="13.7109375" style="47" customWidth="1"/>
    <col min="18" max="18" width="1.7109375" style="47" hidden="1" customWidth="1"/>
    <col min="19" max="20" width="13.7109375" style="47" customWidth="1"/>
    <col min="21" max="21" width="1.7109375" style="47" customWidth="1"/>
    <col min="22" max="22" width="13.7109375" style="47" customWidth="1"/>
    <col min="23" max="23" width="19.28515625" style="47" bestFit="1" customWidth="1"/>
    <col min="24" max="27" width="13.7109375" style="47" customWidth="1"/>
    <col min="28" max="28" width="10.42578125" style="58" bestFit="1" customWidth="1"/>
    <col min="29" max="29" width="9.140625" style="2"/>
    <col min="30" max="31" width="9.140625" style="45"/>
    <col min="32" max="16384" width="9.140625" style="2"/>
  </cols>
  <sheetData>
    <row r="7" spans="1:33" ht="17.25">
      <c r="M7" s="48"/>
      <c r="N7" s="49"/>
      <c r="O7" s="49"/>
      <c r="P7" s="49"/>
      <c r="Q7" s="49"/>
      <c r="R7" s="49"/>
      <c r="U7" s="49"/>
    </row>
    <row r="8" spans="1:33" ht="9.75" customHeight="1">
      <c r="B8" s="4"/>
      <c r="M8" s="50"/>
      <c r="N8" s="51"/>
      <c r="O8" s="51"/>
      <c r="P8" s="51"/>
      <c r="Q8" s="51"/>
      <c r="R8" s="51"/>
      <c r="U8" s="51"/>
    </row>
    <row r="9" spans="1:33" s="7" customFormat="1" ht="12.6" customHeight="1">
      <c r="A9" s="5"/>
      <c r="B9" s="4" t="s">
        <v>17</v>
      </c>
      <c r="C9" s="52"/>
      <c r="D9" s="52"/>
      <c r="E9" s="52"/>
      <c r="F9" s="52"/>
      <c r="G9" s="52"/>
      <c r="H9" s="52"/>
      <c r="I9" s="52"/>
      <c r="J9" s="52"/>
      <c r="K9" s="53"/>
      <c r="L9" s="53"/>
      <c r="M9" s="54"/>
      <c r="N9" s="54"/>
      <c r="O9" s="54"/>
      <c r="P9" s="54"/>
      <c r="Q9" s="54"/>
      <c r="R9" s="8"/>
      <c r="S9" s="54"/>
      <c r="T9" s="54"/>
      <c r="U9" s="51"/>
      <c r="V9" s="67" t="s">
        <v>18</v>
      </c>
      <c r="W9" s="68" t="s">
        <v>19</v>
      </c>
      <c r="X9" s="9" t="s">
        <v>20</v>
      </c>
      <c r="Y9" s="9" t="s">
        <v>20</v>
      </c>
      <c r="Z9" s="9" t="s">
        <v>20</v>
      </c>
      <c r="AA9" s="9" t="s">
        <v>20</v>
      </c>
      <c r="AB9" s="59"/>
      <c r="AD9" s="44"/>
      <c r="AE9" s="44"/>
    </row>
    <row r="10" spans="1:33" s="12" customFormat="1" ht="12.75">
      <c r="A10" s="5"/>
      <c r="B10" s="10"/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11" t="s">
        <v>21</v>
      </c>
      <c r="I10" s="11" t="s">
        <v>21</v>
      </c>
      <c r="J10" s="11" t="s">
        <v>21</v>
      </c>
      <c r="K10" s="11" t="s">
        <v>21</v>
      </c>
      <c r="L10" s="11" t="s">
        <v>21</v>
      </c>
      <c r="M10" s="11" t="s">
        <v>21</v>
      </c>
      <c r="N10" s="11" t="s">
        <v>21</v>
      </c>
      <c r="O10" s="11" t="s">
        <v>21</v>
      </c>
      <c r="P10" s="11" t="s">
        <v>21</v>
      </c>
      <c r="Q10" s="11" t="s">
        <v>21</v>
      </c>
      <c r="R10" s="35"/>
      <c r="S10" s="11" t="s">
        <v>21</v>
      </c>
      <c r="T10" s="11" t="s">
        <v>21</v>
      </c>
      <c r="U10" s="35"/>
      <c r="V10" s="11" t="s">
        <v>21</v>
      </c>
      <c r="W10" s="11" t="s">
        <v>21</v>
      </c>
      <c r="X10" s="11" t="s">
        <v>21</v>
      </c>
      <c r="Y10" s="11" t="s">
        <v>21</v>
      </c>
      <c r="Z10" s="11" t="s">
        <v>21</v>
      </c>
      <c r="AA10" s="11" t="s">
        <v>21</v>
      </c>
      <c r="AB10" s="60"/>
      <c r="AD10" s="44"/>
      <c r="AE10" s="44"/>
    </row>
    <row r="11" spans="1:33" s="15" customFormat="1" ht="12.75">
      <c r="A11" s="5"/>
      <c r="B11" s="13"/>
      <c r="C11" s="14">
        <v>37072</v>
      </c>
      <c r="D11" s="14">
        <v>37437</v>
      </c>
      <c r="E11" s="14">
        <v>37774</v>
      </c>
      <c r="F11" s="14">
        <v>38139</v>
      </c>
      <c r="G11" s="14">
        <v>38504</v>
      </c>
      <c r="H11" s="14">
        <v>38869</v>
      </c>
      <c r="I11" s="14">
        <v>39234</v>
      </c>
      <c r="J11" s="14">
        <v>39600</v>
      </c>
      <c r="K11" s="14">
        <v>39965</v>
      </c>
      <c r="L11" s="14">
        <v>40359</v>
      </c>
      <c r="M11" s="14">
        <v>40724</v>
      </c>
      <c r="N11" s="14">
        <v>41090</v>
      </c>
      <c r="O11" s="14">
        <v>41455</v>
      </c>
      <c r="P11" s="14">
        <v>41820</v>
      </c>
      <c r="Q11" s="14">
        <v>42185</v>
      </c>
      <c r="R11" s="36"/>
      <c r="S11" s="14">
        <v>42551</v>
      </c>
      <c r="T11" s="14">
        <v>42916</v>
      </c>
      <c r="U11" s="36"/>
      <c r="V11" s="14">
        <v>43281</v>
      </c>
      <c r="W11" s="14">
        <v>43646</v>
      </c>
      <c r="X11" s="14">
        <v>44012</v>
      </c>
      <c r="Y11" s="14">
        <v>44377</v>
      </c>
      <c r="Z11" s="14">
        <v>44742</v>
      </c>
      <c r="AA11" s="14">
        <v>45107</v>
      </c>
      <c r="AB11" s="60"/>
      <c r="AD11" s="44"/>
      <c r="AE11" s="44"/>
    </row>
    <row r="12" spans="1:33" s="18" customFormat="1" ht="3" customHeight="1">
      <c r="A12" s="5"/>
      <c r="B12" s="16"/>
      <c r="C12" s="14"/>
      <c r="D12" s="14"/>
      <c r="E12" s="14"/>
      <c r="F12" s="14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7"/>
      <c r="S12" s="17"/>
      <c r="T12" s="17"/>
      <c r="U12" s="37"/>
      <c r="V12" s="17"/>
      <c r="W12" s="17"/>
      <c r="X12" s="17"/>
      <c r="Y12" s="17"/>
      <c r="Z12" s="17"/>
      <c r="AA12" s="17"/>
      <c r="AB12" s="59"/>
      <c r="AD12" s="44"/>
      <c r="AE12" s="44"/>
    </row>
    <row r="13" spans="1:33" s="21" customFormat="1" ht="12.75">
      <c r="A13" s="5">
        <v>1</v>
      </c>
      <c r="B13" s="19" t="s">
        <v>22</v>
      </c>
      <c r="C13" s="20">
        <v>7989000</v>
      </c>
      <c r="D13" s="20">
        <f t="shared" ref="D13:J13" si="0">C43</f>
        <v>7795000</v>
      </c>
      <c r="E13" s="20">
        <f t="shared" si="0"/>
        <v>7281000</v>
      </c>
      <c r="F13" s="20">
        <f t="shared" si="0"/>
        <v>5137000</v>
      </c>
      <c r="G13" s="20">
        <f t="shared" si="0"/>
        <v>16363000</v>
      </c>
      <c r="H13" s="20">
        <f t="shared" si="0"/>
        <v>11704000</v>
      </c>
      <c r="I13" s="20">
        <f t="shared" si="0"/>
        <v>7924000</v>
      </c>
      <c r="J13" s="20">
        <f t="shared" si="0"/>
        <v>6202000</v>
      </c>
      <c r="K13" s="20">
        <f>J43</f>
        <v>3307000</v>
      </c>
      <c r="L13" s="20">
        <f>K43</f>
        <v>8601000</v>
      </c>
      <c r="M13" s="20">
        <f>L43</f>
        <v>7576000</v>
      </c>
      <c r="N13" s="20">
        <f>M43</f>
        <v>7350387</v>
      </c>
      <c r="O13" s="20">
        <v>7634658.0300000003</v>
      </c>
      <c r="P13" s="20">
        <f t="shared" ref="P13:AA13" si="1">O43</f>
        <v>7912299.4299999997</v>
      </c>
      <c r="Q13" s="20">
        <f t="shared" si="1"/>
        <v>8334084.0500000026</v>
      </c>
      <c r="R13" s="38"/>
      <c r="S13" s="20">
        <f>Q43</f>
        <v>9335508.0300000031</v>
      </c>
      <c r="T13" s="20">
        <f>S43</f>
        <v>8139283.6499999976</v>
      </c>
      <c r="U13" s="38"/>
      <c r="V13" s="20">
        <f>T43</f>
        <v>11564655.299999999</v>
      </c>
      <c r="W13" s="20">
        <f t="shared" si="1"/>
        <v>13589463.550000006</v>
      </c>
      <c r="X13" s="20">
        <f t="shared" si="1"/>
        <v>13960289.84500001</v>
      </c>
      <c r="Y13" s="20">
        <f t="shared" si="1"/>
        <v>13467774.332625013</v>
      </c>
      <c r="Z13" s="20">
        <f t="shared" si="1"/>
        <v>12959424.139201887</v>
      </c>
      <c r="AA13" s="20">
        <f t="shared" si="1"/>
        <v>12173652.092585579</v>
      </c>
      <c r="AB13" s="59"/>
      <c r="AD13" s="44"/>
      <c r="AE13" s="44"/>
    </row>
    <row r="14" spans="1:33" s="18" customFormat="1" ht="6" customHeight="1">
      <c r="A14" s="5"/>
      <c r="B14" s="16"/>
      <c r="C14" s="22"/>
      <c r="D14" s="22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9"/>
      <c r="S14" s="23"/>
      <c r="T14" s="23"/>
      <c r="U14" s="39"/>
      <c r="V14" s="23"/>
      <c r="W14" s="23"/>
      <c r="X14" s="23"/>
      <c r="Y14" s="23"/>
      <c r="Z14" s="23"/>
      <c r="AA14" s="23"/>
      <c r="AB14" s="59"/>
      <c r="AD14" s="44"/>
      <c r="AE14" s="44"/>
    </row>
    <row r="15" spans="1:33" s="7" customFormat="1" ht="12.75">
      <c r="A15" s="5">
        <v>2</v>
      </c>
      <c r="B15" s="6" t="s">
        <v>23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40"/>
      <c r="S15" s="25"/>
      <c r="T15" s="25"/>
      <c r="U15" s="40"/>
      <c r="V15" s="25"/>
      <c r="W15" s="25"/>
      <c r="X15" s="25"/>
      <c r="Y15" s="25"/>
      <c r="Z15" s="25"/>
      <c r="AA15" s="25"/>
      <c r="AB15" s="59"/>
      <c r="AD15" s="64" t="s">
        <v>24</v>
      </c>
      <c r="AE15" s="64" t="s">
        <v>25</v>
      </c>
      <c r="AF15" s="64" t="s">
        <v>26</v>
      </c>
      <c r="AG15" s="64" t="s">
        <v>27</v>
      </c>
    </row>
    <row r="16" spans="1:33" s="24" customFormat="1" ht="15.6" customHeight="1">
      <c r="A16" s="5">
        <v>3</v>
      </c>
      <c r="B16" s="26" t="s">
        <v>28</v>
      </c>
      <c r="C16" s="25">
        <v>5794000</v>
      </c>
      <c r="D16" s="25">
        <v>5978000</v>
      </c>
      <c r="E16" s="25">
        <v>6232000</v>
      </c>
      <c r="F16" s="25">
        <v>6407000</v>
      </c>
      <c r="G16" s="25">
        <v>6555000</v>
      </c>
      <c r="H16" s="25">
        <v>6815000</v>
      </c>
      <c r="I16" s="25">
        <v>8500000</v>
      </c>
      <c r="J16" s="25">
        <v>7654000</v>
      </c>
      <c r="K16" s="25">
        <v>8217000</v>
      </c>
      <c r="L16" s="25">
        <v>9210000</v>
      </c>
      <c r="M16" s="25">
        <v>8898309</v>
      </c>
      <c r="N16" s="27">
        <v>9215013</v>
      </c>
      <c r="O16" s="27">
        <v>9018419.3100000005</v>
      </c>
      <c r="P16" s="25">
        <f>SUM(9604681.28-116675.29)</f>
        <v>9488005.9900000002</v>
      </c>
      <c r="Q16" s="25">
        <v>9396925.5800000001</v>
      </c>
      <c r="R16" s="40"/>
      <c r="S16" s="25">
        <v>10056749.880000001</v>
      </c>
      <c r="T16" s="25">
        <v>9863623.9800000004</v>
      </c>
      <c r="U16" s="40"/>
      <c r="V16" s="25">
        <v>9942745.3100000005</v>
      </c>
      <c r="W16" s="25">
        <v>10014319</v>
      </c>
      <c r="X16" s="25">
        <f>SUM(W16-W31)*1.025+(X31*1.025)</f>
        <v>10311987.1415</v>
      </c>
      <c r="Y16" s="25">
        <f>SUM(X16-X31)*AB16+(Y31*AB16)</f>
        <v>10575362.820037499</v>
      </c>
      <c r="Z16" s="25">
        <f>SUM(Y16-Y31)*AB16+(Z31*AB16)</f>
        <v>10907464.796788435</v>
      </c>
      <c r="AA16" s="25">
        <f>SUM(Z16-Z31)*AB16+(AA31*AB16)</f>
        <v>11204194.072958145</v>
      </c>
      <c r="AB16" s="61">
        <v>1.0249999999999999</v>
      </c>
      <c r="AD16" s="44">
        <f t="shared" ref="AD16:AD21" si="2">SUM(V16/($V$22+$V$39))</f>
        <v>0.51890928480308163</v>
      </c>
      <c r="AE16" s="44">
        <f t="shared" ref="AE16:AE21" si="3">SUM(W16/($W$22+$W$39))</f>
        <v>0.53779942189015972</v>
      </c>
      <c r="AF16" s="44">
        <f t="shared" ref="AF16:AF21" si="4">SUM(X16/($X$22+$X$39))</f>
        <v>0.55529620558968651</v>
      </c>
      <c r="AG16" s="44">
        <f t="shared" ref="AG16:AG21" si="5">SUM(Y16/($Y$22+$Y$39))</f>
        <v>0.56116021860399412</v>
      </c>
    </row>
    <row r="17" spans="1:33" s="24" customFormat="1" ht="15.6" customHeight="1">
      <c r="A17" s="5">
        <v>4</v>
      </c>
      <c r="B17" s="26" t="s">
        <v>29</v>
      </c>
      <c r="C17" s="25">
        <v>921000</v>
      </c>
      <c r="D17" s="25">
        <v>871000</v>
      </c>
      <c r="E17" s="25">
        <v>753000</v>
      </c>
      <c r="F17" s="25">
        <v>646000</v>
      </c>
      <c r="G17" s="25">
        <v>785000</v>
      </c>
      <c r="H17" s="25">
        <v>929000</v>
      </c>
      <c r="I17" s="25">
        <v>1025000</v>
      </c>
      <c r="J17" s="25">
        <v>946000</v>
      </c>
      <c r="K17" s="25">
        <v>749000</v>
      </c>
      <c r="L17" s="25">
        <v>826000</v>
      </c>
      <c r="M17" s="25">
        <v>773313</v>
      </c>
      <c r="N17" s="27">
        <v>855251</v>
      </c>
      <c r="O17" s="27">
        <f>SUM(931002-200000-100000)</f>
        <v>631002</v>
      </c>
      <c r="P17" s="25">
        <f>SUM(509529.12+116675.29+14158.57)</f>
        <v>640362.98</v>
      </c>
      <c r="Q17" s="25">
        <v>599134</v>
      </c>
      <c r="R17" s="40"/>
      <c r="S17" s="25">
        <v>544316.53</v>
      </c>
      <c r="T17" s="25">
        <v>568577.67000000004</v>
      </c>
      <c r="U17" s="40"/>
      <c r="V17" s="25">
        <v>590892.73</v>
      </c>
      <c r="W17" s="25">
        <f>SUM(10598155-10014319)</f>
        <v>583836</v>
      </c>
      <c r="X17" s="25">
        <f>+W17*AB17</f>
        <v>595512.72</v>
      </c>
      <c r="Y17" s="25">
        <f>+X17*AB17</f>
        <v>607422.97439999995</v>
      </c>
      <c r="Z17" s="25">
        <f>+Y17*AB17</f>
        <v>619571.43388799997</v>
      </c>
      <c r="AA17" s="25">
        <f>SUM(Z17-Z32)*AB17+(AA32*AB17)</f>
        <v>631962.86256576004</v>
      </c>
      <c r="AB17" s="61">
        <v>1.02</v>
      </c>
      <c r="AD17" s="44">
        <f t="shared" si="2"/>
        <v>3.0838537482324426E-2</v>
      </c>
      <c r="AE17" s="44">
        <f t="shared" si="3"/>
        <v>3.1353770863367075E-2</v>
      </c>
      <c r="AF17" s="44">
        <f t="shared" si="4"/>
        <v>3.2068111534542823E-2</v>
      </c>
      <c r="AG17" s="44">
        <f t="shared" si="5"/>
        <v>3.2231670430592718E-2</v>
      </c>
    </row>
    <row r="18" spans="1:33" s="24" customFormat="1" ht="15.6" customHeight="1">
      <c r="A18" s="5">
        <v>5</v>
      </c>
      <c r="B18" s="26" t="s">
        <v>30</v>
      </c>
      <c r="C18" s="25">
        <v>1595000</v>
      </c>
      <c r="D18" s="25">
        <v>1697000</v>
      </c>
      <c r="E18" s="25">
        <v>1711000</v>
      </c>
      <c r="F18" s="25">
        <v>2026000</v>
      </c>
      <c r="G18" s="25">
        <v>2508000</v>
      </c>
      <c r="H18" s="25">
        <v>2788000</v>
      </c>
      <c r="I18" s="25">
        <v>3345000</v>
      </c>
      <c r="J18" s="25">
        <v>3470000</v>
      </c>
      <c r="K18" s="25">
        <v>4019000</v>
      </c>
      <c r="L18" s="25">
        <v>3863000</v>
      </c>
      <c r="M18" s="25">
        <v>3774613</v>
      </c>
      <c r="N18" s="27">
        <v>3425646</v>
      </c>
      <c r="O18" s="27">
        <v>3336443.93</v>
      </c>
      <c r="P18" s="25">
        <v>3292376.03</v>
      </c>
      <c r="Q18" s="25">
        <f>SUM(3607389.19+80212)</f>
        <v>3687601.19</v>
      </c>
      <c r="R18" s="40"/>
      <c r="S18" s="25">
        <v>4152330.45</v>
      </c>
      <c r="T18" s="25">
        <v>4599383.51</v>
      </c>
      <c r="U18" s="40"/>
      <c r="V18" s="25">
        <f>SUM(5123615.99+556984.15+24435.51)</f>
        <v>5705035.6500000004</v>
      </c>
      <c r="W18" s="25">
        <f>SUM(5123615.99+556984.15+24874)+360016.98</f>
        <v>6065491.120000001</v>
      </c>
      <c r="X18" s="25">
        <f>SUM(W18*$AB$18)-360016.98</f>
        <v>5705474.1400000006</v>
      </c>
      <c r="Y18" s="25">
        <f>SUM(X18*$AB$18)</f>
        <v>5705474.1400000006</v>
      </c>
      <c r="Z18" s="25">
        <f>SUM(Y18*$AB$18)</f>
        <v>5705474.1400000006</v>
      </c>
      <c r="AA18" s="25">
        <f>SUM(Z18*$AB$18)</f>
        <v>5705474.1400000006</v>
      </c>
      <c r="AB18" s="61">
        <v>1</v>
      </c>
      <c r="AD18" s="44">
        <f t="shared" si="2"/>
        <v>0.29774432278177143</v>
      </c>
      <c r="AE18" s="44">
        <f t="shared" si="3"/>
        <v>0.32573534134631599</v>
      </c>
      <c r="AF18" s="44">
        <f t="shared" si="4"/>
        <v>0.30723740221530416</v>
      </c>
      <c r="AG18" s="44">
        <f t="shared" si="5"/>
        <v>0.30274943471211163</v>
      </c>
    </row>
    <row r="19" spans="1:33" s="24" customFormat="1" ht="15.6" customHeight="1">
      <c r="A19" s="5">
        <v>6</v>
      </c>
      <c r="B19" s="26" t="s">
        <v>31</v>
      </c>
      <c r="C19" s="25">
        <v>1838000</v>
      </c>
      <c r="D19" s="25">
        <v>1354000</v>
      </c>
      <c r="E19" s="25">
        <v>1627000</v>
      </c>
      <c r="F19" s="25">
        <v>2052000</v>
      </c>
      <c r="G19" s="25">
        <v>1801000</v>
      </c>
      <c r="H19" s="25">
        <v>1771000</v>
      </c>
      <c r="I19" s="25">
        <v>2321000</v>
      </c>
      <c r="J19" s="25">
        <v>1766000</v>
      </c>
      <c r="K19" s="25">
        <v>1948000</v>
      </c>
      <c r="L19" s="25">
        <v>1834000</v>
      </c>
      <c r="M19" s="25">
        <v>2294113</v>
      </c>
      <c r="N19" s="27">
        <v>1867696</v>
      </c>
      <c r="O19" s="27">
        <f>SUM(5572254.07-O18)</f>
        <v>2235810.14</v>
      </c>
      <c r="P19" s="25">
        <v>2220209.29</v>
      </c>
      <c r="Q19" s="25">
        <f>SUM(1485336.78-80212)</f>
        <v>1405124.78</v>
      </c>
      <c r="R19" s="40"/>
      <c r="S19" s="25">
        <v>1168911.3899999999</v>
      </c>
      <c r="T19" s="25">
        <v>1060500.6000000001</v>
      </c>
      <c r="U19" s="40"/>
      <c r="V19" s="25">
        <v>1577389.5</v>
      </c>
      <c r="W19" s="25">
        <v>1004006</v>
      </c>
      <c r="X19" s="25">
        <f>SUM(W19*$AB$19)</f>
        <v>1004006</v>
      </c>
      <c r="Y19" s="25">
        <f>SUM(X19*$AB$19)</f>
        <v>1004006</v>
      </c>
      <c r="Z19" s="25">
        <f>SUM(Y19*$AB$19)</f>
        <v>1004006</v>
      </c>
      <c r="AA19" s="25">
        <f>SUM(Z19*$AB$19)</f>
        <v>1004006</v>
      </c>
      <c r="AB19" s="61">
        <v>1</v>
      </c>
      <c r="AD19" s="44">
        <f t="shared" si="2"/>
        <v>8.2323546644371456E-2</v>
      </c>
      <c r="AE19" s="44">
        <f t="shared" si="3"/>
        <v>5.3918179196633512E-2</v>
      </c>
      <c r="AF19" s="44">
        <f t="shared" si="4"/>
        <v>5.4065304246314339E-2</v>
      </c>
      <c r="AG19" s="44">
        <f t="shared" si="5"/>
        <v>5.3275545815999151E-2</v>
      </c>
    </row>
    <row r="20" spans="1:33" s="24" customFormat="1" ht="15.6" customHeight="1">
      <c r="A20" s="5">
        <v>7</v>
      </c>
      <c r="B20" s="26" t="s">
        <v>32</v>
      </c>
      <c r="C20" s="25">
        <v>650000</v>
      </c>
      <c r="D20" s="25">
        <v>532000</v>
      </c>
      <c r="E20" s="25">
        <v>543000</v>
      </c>
      <c r="F20" s="25">
        <v>513000</v>
      </c>
      <c r="G20" s="25">
        <v>575000</v>
      </c>
      <c r="H20" s="25">
        <v>463000</v>
      </c>
      <c r="I20" s="25">
        <v>725000</v>
      </c>
      <c r="J20" s="25">
        <v>557000</v>
      </c>
      <c r="K20" s="25">
        <v>638000</v>
      </c>
      <c r="L20" s="25">
        <v>888000</v>
      </c>
      <c r="M20" s="25">
        <v>1508186</v>
      </c>
      <c r="N20" s="27">
        <v>964380</v>
      </c>
      <c r="O20" s="27">
        <v>890972.82</v>
      </c>
      <c r="P20" s="25">
        <v>872664.53</v>
      </c>
      <c r="Q20" s="25">
        <v>964588.89</v>
      </c>
      <c r="R20" s="40"/>
      <c r="S20" s="25">
        <v>1026466.58</v>
      </c>
      <c r="T20" s="25">
        <v>1119230.49</v>
      </c>
      <c r="U20" s="40"/>
      <c r="V20" s="25">
        <v>1016697.83</v>
      </c>
      <c r="W20" s="25">
        <v>953266</v>
      </c>
      <c r="X20" s="25">
        <f>SUM(W20*$AB$20)</f>
        <v>953266</v>
      </c>
      <c r="Y20" s="25">
        <f>SUM(X20*$AB$20)</f>
        <v>953266</v>
      </c>
      <c r="Z20" s="25">
        <f>SUM(Y20*$AB$20)</f>
        <v>953266</v>
      </c>
      <c r="AA20" s="25">
        <f>SUM(Z20*$AB$20)</f>
        <v>953266</v>
      </c>
      <c r="AB20" s="61">
        <v>1</v>
      </c>
      <c r="AD20" s="44">
        <f t="shared" si="2"/>
        <v>5.306119460744238E-2</v>
      </c>
      <c r="AE20" s="44">
        <f t="shared" si="3"/>
        <v>5.1193286703523723E-2</v>
      </c>
      <c r="AF20" s="44">
        <f t="shared" si="4"/>
        <v>5.1332976414151993E-2</v>
      </c>
      <c r="AG20" s="44">
        <f t="shared" si="5"/>
        <v>5.0583130437302413E-2</v>
      </c>
    </row>
    <row r="21" spans="1:33" s="24" customFormat="1" ht="15.6" customHeight="1">
      <c r="A21" s="5">
        <v>8</v>
      </c>
      <c r="B21" s="26" t="s">
        <v>33</v>
      </c>
      <c r="C21" s="25"/>
      <c r="D21" s="25"/>
      <c r="E21" s="25"/>
      <c r="F21" s="25"/>
      <c r="G21" s="25"/>
      <c r="H21" s="25"/>
      <c r="I21" s="25"/>
      <c r="J21" s="25"/>
      <c r="K21" s="25">
        <v>0</v>
      </c>
      <c r="L21" s="25">
        <v>0</v>
      </c>
      <c r="M21" s="25">
        <v>0</v>
      </c>
      <c r="N21" s="27">
        <v>0</v>
      </c>
      <c r="O21" s="27">
        <f>SUM(3795000+433865.85)</f>
        <v>4228865.8499999996</v>
      </c>
      <c r="P21" s="25">
        <v>0</v>
      </c>
      <c r="Q21" s="25">
        <v>1500468</v>
      </c>
      <c r="R21" s="40"/>
      <c r="S21" s="25">
        <v>0</v>
      </c>
      <c r="T21" s="25">
        <f>SUM(6390000-340181.53)</f>
        <v>6049818.4699999997</v>
      </c>
      <c r="U21" s="40"/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61"/>
      <c r="AD21" s="44">
        <f t="shared" si="2"/>
        <v>0</v>
      </c>
      <c r="AE21" s="44">
        <f t="shared" si="3"/>
        <v>0</v>
      </c>
      <c r="AF21" s="44">
        <f t="shared" si="4"/>
        <v>0</v>
      </c>
      <c r="AG21" s="44">
        <f t="shared" si="5"/>
        <v>0</v>
      </c>
    </row>
    <row r="22" spans="1:33" s="28" customFormat="1" ht="16.7" customHeight="1" thickBot="1">
      <c r="A22" s="5">
        <v>9</v>
      </c>
      <c r="B22" s="28" t="s">
        <v>34</v>
      </c>
      <c r="C22" s="29">
        <f t="shared" ref="C22:J22" si="6">SUM(C16:C20)</f>
        <v>10798000</v>
      </c>
      <c r="D22" s="29">
        <f t="shared" si="6"/>
        <v>10432000</v>
      </c>
      <c r="E22" s="29">
        <f t="shared" si="6"/>
        <v>10866000</v>
      </c>
      <c r="F22" s="29">
        <f t="shared" si="6"/>
        <v>11644000</v>
      </c>
      <c r="G22" s="29">
        <f t="shared" si="6"/>
        <v>12224000</v>
      </c>
      <c r="H22" s="29">
        <f t="shared" si="6"/>
        <v>12766000</v>
      </c>
      <c r="I22" s="29">
        <f t="shared" si="6"/>
        <v>15916000</v>
      </c>
      <c r="J22" s="29">
        <f t="shared" si="6"/>
        <v>14393000</v>
      </c>
      <c r="K22" s="29">
        <f>SUM(K16:K21)</f>
        <v>15571000</v>
      </c>
      <c r="L22" s="29">
        <f>SUM(L16:L21)</f>
        <v>16621000</v>
      </c>
      <c r="M22" s="29">
        <f>SUM(M16:M21)</f>
        <v>17248534</v>
      </c>
      <c r="N22" s="29">
        <f>SUM(N16:N21)</f>
        <v>16327986</v>
      </c>
      <c r="O22" s="29">
        <f t="shared" ref="O22:AA22" si="7">SUM(O16:O21)</f>
        <v>20341514.050000001</v>
      </c>
      <c r="P22" s="29">
        <f t="shared" si="7"/>
        <v>16513618.819999998</v>
      </c>
      <c r="Q22" s="29">
        <f t="shared" si="7"/>
        <v>17553842.439999998</v>
      </c>
      <c r="R22" s="41"/>
      <c r="S22" s="29">
        <f t="shared" si="7"/>
        <v>16948774.829999998</v>
      </c>
      <c r="T22" s="29">
        <f t="shared" si="7"/>
        <v>23261134.719999999</v>
      </c>
      <c r="U22" s="41"/>
      <c r="V22" s="29">
        <f t="shared" si="7"/>
        <v>18832761.02</v>
      </c>
      <c r="W22" s="29">
        <f t="shared" si="7"/>
        <v>18620918.120000001</v>
      </c>
      <c r="X22" s="29">
        <f t="shared" si="7"/>
        <v>18570246.001500003</v>
      </c>
      <c r="Y22" s="29">
        <f t="shared" si="7"/>
        <v>18845531.934437498</v>
      </c>
      <c r="Z22" s="29">
        <f t="shared" si="7"/>
        <v>19189782.370676436</v>
      </c>
      <c r="AA22" s="29">
        <f t="shared" si="7"/>
        <v>19498903.075523905</v>
      </c>
      <c r="AB22" s="62"/>
      <c r="AD22" s="44">
        <f>SUM(V39/($V$22+$V$39))</f>
        <v>1.7123113681008793E-2</v>
      </c>
      <c r="AE22" s="44">
        <f>SUM(W39/($W$22+$W$39))</f>
        <v>0</v>
      </c>
      <c r="AF22" s="44">
        <f>SUM(X39/($X$22+$X$39))</f>
        <v>0</v>
      </c>
      <c r="AG22" s="44">
        <f>SUM(Y39/($Y$22+$Y$39))</f>
        <v>0</v>
      </c>
    </row>
    <row r="23" spans="1:33" s="24" customFormat="1" ht="6.75" customHeight="1" thickTop="1">
      <c r="A23" s="5"/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40"/>
      <c r="S23" s="25"/>
      <c r="T23" s="25"/>
      <c r="U23" s="40"/>
      <c r="V23" s="25"/>
      <c r="W23" s="25"/>
      <c r="X23" s="25"/>
      <c r="Y23" s="25"/>
      <c r="Z23" s="25"/>
      <c r="AA23" s="25"/>
      <c r="AB23" s="61"/>
      <c r="AD23" s="44"/>
      <c r="AE23" s="44"/>
      <c r="AF23" s="44"/>
      <c r="AG23" s="44"/>
    </row>
    <row r="24" spans="1:33" s="24" customFormat="1" ht="15" customHeight="1">
      <c r="A24" s="5">
        <v>10</v>
      </c>
      <c r="B24" s="28" t="s">
        <v>35</v>
      </c>
      <c r="C24" s="44">
        <f t="shared" ref="C24" si="8">SUM(C25+C26)/(C34-C31-C32-C33)</f>
        <v>0.76787492531368251</v>
      </c>
      <c r="D24" s="44">
        <f t="shared" ref="D24" si="9">SUM(D25+D26)/(D34-D31-D32-D33)</f>
        <v>0.80340887081154366</v>
      </c>
      <c r="E24" s="44">
        <f t="shared" ref="E24:S24" si="10">SUM(E25+E26)/(E34-E31-E32-E33)</f>
        <v>0.81176578560939794</v>
      </c>
      <c r="F24" s="44">
        <f t="shared" si="10"/>
        <v>0.82318591670244745</v>
      </c>
      <c r="G24" s="44">
        <f t="shared" si="10"/>
        <v>0.80702317004730217</v>
      </c>
      <c r="H24" s="44">
        <f t="shared" si="10"/>
        <v>0.76568038775953118</v>
      </c>
      <c r="I24" s="44">
        <f t="shared" si="10"/>
        <v>0.77673559297946426</v>
      </c>
      <c r="J24" s="44">
        <f t="shared" si="10"/>
        <v>0.77143248425089017</v>
      </c>
      <c r="K24" s="44">
        <f t="shared" si="10"/>
        <v>0.78928144507902775</v>
      </c>
      <c r="L24" s="44">
        <f t="shared" si="10"/>
        <v>0.79107215654300855</v>
      </c>
      <c r="M24" s="44">
        <f t="shared" si="10"/>
        <v>0.78953843052177963</v>
      </c>
      <c r="N24" s="44">
        <f t="shared" si="10"/>
        <v>0.78421632122537344</v>
      </c>
      <c r="O24" s="44">
        <f t="shared" si="10"/>
        <v>0.75856500333012244</v>
      </c>
      <c r="P24" s="44">
        <f t="shared" si="10"/>
        <v>0.77022780548325509</v>
      </c>
      <c r="Q24" s="44">
        <f t="shared" si="10"/>
        <v>0.73185648949982662</v>
      </c>
      <c r="R24" s="44" t="e">
        <f t="shared" si="10"/>
        <v>#DIV/0!</v>
      </c>
      <c r="S24" s="44">
        <f t="shared" si="10"/>
        <v>0.70575106704808765</v>
      </c>
      <c r="T24" s="44">
        <f>SUM(T25+T26)/(T34-T31-T32-T33)</f>
        <v>0.70743473051644434</v>
      </c>
      <c r="U24" s="40"/>
      <c r="V24" s="44">
        <f t="shared" ref="V24:Z24" si="11">SUM(V25+V26)/(V34-V31-V32-V33)</f>
        <v>0.78825519327922966</v>
      </c>
      <c r="W24" s="44">
        <f t="shared" si="11"/>
        <v>0.76582612624852708</v>
      </c>
      <c r="X24" s="44">
        <f t="shared" si="11"/>
        <v>0.75706019065423791</v>
      </c>
      <c r="Y24" s="44">
        <f t="shared" si="11"/>
        <v>0.77173797531893951</v>
      </c>
      <c r="Z24" s="44">
        <f t="shared" si="11"/>
        <v>0.77467990091018368</v>
      </c>
      <c r="AA24" s="44">
        <f t="shared" ref="AA24" si="12">SUM(AA25+AA26)/(AA34-AA31-AA32-AA33)</f>
        <v>0.77761143317535142</v>
      </c>
      <c r="AB24" s="61"/>
      <c r="AD24" s="64" t="s">
        <v>24</v>
      </c>
      <c r="AE24" s="64" t="s">
        <v>25</v>
      </c>
      <c r="AF24" s="64" t="s">
        <v>26</v>
      </c>
      <c r="AG24" s="64" t="s">
        <v>27</v>
      </c>
    </row>
    <row r="25" spans="1:33" s="24" customFormat="1" ht="15.6" customHeight="1">
      <c r="A25" s="5">
        <v>11</v>
      </c>
      <c r="B25" s="24" t="s">
        <v>36</v>
      </c>
      <c r="C25" s="25">
        <v>6482000</v>
      </c>
      <c r="D25" s="25">
        <v>6949000</v>
      </c>
      <c r="E25" s="25">
        <v>7343000</v>
      </c>
      <c r="F25" s="25">
        <v>7851000</v>
      </c>
      <c r="G25" s="25">
        <v>8006000</v>
      </c>
      <c r="H25" s="25">
        <v>8343000</v>
      </c>
      <c r="I25" s="25">
        <v>8441000</v>
      </c>
      <c r="J25" s="25">
        <v>8750000</v>
      </c>
      <c r="K25" s="25">
        <v>9247000</v>
      </c>
      <c r="L25" s="25">
        <v>9018000</v>
      </c>
      <c r="M25" s="25">
        <v>9231681</v>
      </c>
      <c r="N25" s="25">
        <v>8092162</v>
      </c>
      <c r="O25" s="25">
        <v>7994628.2999999998</v>
      </c>
      <c r="P25" s="25">
        <v>8154947.2699999996</v>
      </c>
      <c r="Q25" s="25">
        <v>8217043.0599999996</v>
      </c>
      <c r="R25" s="40"/>
      <c r="S25" s="25">
        <v>8399565.0199999996</v>
      </c>
      <c r="T25" s="25">
        <v>8056718.7000000002</v>
      </c>
      <c r="U25" s="40"/>
      <c r="V25" s="25">
        <v>8461442.3399999999</v>
      </c>
      <c r="W25" s="25">
        <f>SUM(8761841-547846)*1.035+547846</f>
        <v>9049330.8249999993</v>
      </c>
      <c r="X25" s="25">
        <f>SUM(W25-547846)*$AB$25+547846</f>
        <v>9346882.7938749976</v>
      </c>
      <c r="Y25" s="25">
        <f t="shared" ref="Y25:AA25" si="13">SUM(X25-547846)*$AB$25+547846</f>
        <v>9654849.0816606227</v>
      </c>
      <c r="Z25" s="25">
        <f t="shared" si="13"/>
        <v>9973594.1895187441</v>
      </c>
      <c r="AA25" s="25">
        <f t="shared" si="13"/>
        <v>10303495.376151899</v>
      </c>
      <c r="AB25" s="61">
        <v>1.0349999999999999</v>
      </c>
      <c r="AC25" s="43"/>
      <c r="AD25" s="44">
        <f t="shared" ref="AD25:AD33" si="14">SUM(V25/($V$34))</f>
        <v>0.49378031616028112</v>
      </c>
      <c r="AE25" s="44">
        <f t="shared" ref="AE25:AE33" si="15">SUM(W25/($W$34))</f>
        <v>0.49585124895666105</v>
      </c>
      <c r="AF25" s="44">
        <f t="shared" ref="AF25:AF33" si="16">SUM(X25/($X$34))</f>
        <v>0.49032155110747128</v>
      </c>
      <c r="AG25" s="44">
        <f t="shared" ref="AG25:AG33" si="17">SUM(Y25/($Y$34))</f>
        <v>0.49885852450047286</v>
      </c>
    </row>
    <row r="26" spans="1:33" s="24" customFormat="1" ht="15.6" customHeight="1">
      <c r="A26" s="5">
        <v>12</v>
      </c>
      <c r="B26" s="24" t="s">
        <v>37</v>
      </c>
      <c r="C26" s="25">
        <v>1229000</v>
      </c>
      <c r="D26" s="25">
        <v>1347000</v>
      </c>
      <c r="E26" s="25">
        <v>1502000</v>
      </c>
      <c r="F26" s="25">
        <v>1735000</v>
      </c>
      <c r="G26" s="25">
        <v>2060000</v>
      </c>
      <c r="H26" s="25">
        <v>2241000</v>
      </c>
      <c r="I26" s="25">
        <v>2490000</v>
      </c>
      <c r="J26" s="25">
        <v>2516000</v>
      </c>
      <c r="K26" s="25">
        <v>2638000</v>
      </c>
      <c r="L26" s="25">
        <v>2625000</v>
      </c>
      <c r="M26" s="25">
        <v>2767548</v>
      </c>
      <c r="N26" s="25">
        <v>2821724</v>
      </c>
      <c r="O26" s="25">
        <v>2464823.69</v>
      </c>
      <c r="P26" s="25">
        <v>2548996.11</v>
      </c>
      <c r="Q26" s="25">
        <v>2493811.04</v>
      </c>
      <c r="R26" s="40"/>
      <c r="S26" s="25">
        <v>2612400.29</v>
      </c>
      <c r="T26" s="25">
        <v>2620657.4700000002</v>
      </c>
      <c r="U26" s="40"/>
      <c r="V26" s="25">
        <v>2671426.88</v>
      </c>
      <c r="W26" s="25">
        <v>2915758</v>
      </c>
      <c r="X26" s="25">
        <f>SUM(W26*AB26)</f>
        <v>3061545.9</v>
      </c>
      <c r="Y26" s="25">
        <f>SUM(X26*AB26)</f>
        <v>3214623.1949999998</v>
      </c>
      <c r="Z26" s="25">
        <f t="shared" ref="Z26:Z28" si="18">SUM(Y26*AB26)</f>
        <v>3375354.3547499999</v>
      </c>
      <c r="AA26" s="25">
        <f>SUM(Z26*AB26)</f>
        <v>3544122.0724875</v>
      </c>
      <c r="AB26" s="61">
        <v>1.05</v>
      </c>
      <c r="AD26" s="44">
        <f t="shared" si="14"/>
        <v>0.15589517205236589</v>
      </c>
      <c r="AE26" s="44">
        <f t="shared" si="15"/>
        <v>0.15976675777629959</v>
      </c>
      <c r="AF26" s="44">
        <f t="shared" si="16"/>
        <v>0.16060348327662949</v>
      </c>
      <c r="AG26" s="44">
        <f t="shared" si="17"/>
        <v>0.1660970741561163</v>
      </c>
    </row>
    <row r="27" spans="1:33" s="24" customFormat="1" ht="15.6" customHeight="1">
      <c r="A27" s="5">
        <v>13</v>
      </c>
      <c r="B27" s="24" t="s">
        <v>38</v>
      </c>
      <c r="C27" s="25">
        <v>815000</v>
      </c>
      <c r="D27" s="25">
        <v>912000</v>
      </c>
      <c r="E27" s="25">
        <v>826000</v>
      </c>
      <c r="F27" s="25">
        <v>864000</v>
      </c>
      <c r="G27" s="25">
        <v>888000</v>
      </c>
      <c r="H27" s="25">
        <v>1412000</v>
      </c>
      <c r="I27" s="25">
        <v>1191000</v>
      </c>
      <c r="J27" s="25">
        <v>1276000</v>
      </c>
      <c r="K27" s="25">
        <v>1335000</v>
      </c>
      <c r="L27" s="25">
        <v>1328000</v>
      </c>
      <c r="M27" s="25">
        <v>1524702</v>
      </c>
      <c r="N27" s="25">
        <v>1561183</v>
      </c>
      <c r="O27" s="25">
        <v>1673861.56</v>
      </c>
      <c r="P27" s="25">
        <v>1672894.38</v>
      </c>
      <c r="Q27" s="25">
        <v>1762155.51</v>
      </c>
      <c r="R27" s="40"/>
      <c r="S27" s="25">
        <v>2027032.57</v>
      </c>
      <c r="T27" s="25">
        <v>1908585.71</v>
      </c>
      <c r="U27" s="40"/>
      <c r="V27" s="25">
        <v>1681673.13</v>
      </c>
      <c r="W27" s="25">
        <v>1996350</v>
      </c>
      <c r="X27" s="25">
        <f>SUM(W27*AB27)</f>
        <v>2036277</v>
      </c>
      <c r="Y27" s="25">
        <f>SUM(X27*AB27)</f>
        <v>2077002.54</v>
      </c>
      <c r="Z27" s="25">
        <f t="shared" si="18"/>
        <v>2118542.5907999999</v>
      </c>
      <c r="AA27" s="25">
        <f>SUM(Z27*AB27)</f>
        <v>2160913.4426159998</v>
      </c>
      <c r="AB27" s="61">
        <v>1.02</v>
      </c>
      <c r="AD27" s="44">
        <f t="shared" si="14"/>
        <v>9.8136589064040047E-2</v>
      </c>
      <c r="AE27" s="44">
        <f t="shared" si="15"/>
        <v>0.10938849070695018</v>
      </c>
      <c r="AF27" s="44">
        <f t="shared" si="16"/>
        <v>0.10681962309174763</v>
      </c>
      <c r="AG27" s="44">
        <f t="shared" si="17"/>
        <v>0.10731710187539474</v>
      </c>
    </row>
    <row r="28" spans="1:33" s="24" customFormat="1" ht="15.6" customHeight="1">
      <c r="A28" s="5">
        <v>14</v>
      </c>
      <c r="B28" s="24" t="s">
        <v>39</v>
      </c>
      <c r="C28" s="25">
        <v>654000</v>
      </c>
      <c r="D28" s="25">
        <v>575000</v>
      </c>
      <c r="E28" s="25">
        <v>646000</v>
      </c>
      <c r="F28" s="25">
        <v>578000</v>
      </c>
      <c r="G28" s="25">
        <v>608000</v>
      </c>
      <c r="H28" s="25">
        <v>763000</v>
      </c>
      <c r="I28" s="25">
        <v>843000</v>
      </c>
      <c r="J28" s="25">
        <v>1000000</v>
      </c>
      <c r="K28" s="25">
        <v>807000</v>
      </c>
      <c r="L28" s="25">
        <v>738000</v>
      </c>
      <c r="M28" s="25">
        <v>646746</v>
      </c>
      <c r="N28" s="25">
        <v>687219</v>
      </c>
      <c r="O28" s="25">
        <v>725427.5</v>
      </c>
      <c r="P28" s="25">
        <v>731603.08</v>
      </c>
      <c r="Q28" s="25">
        <v>940808.78</v>
      </c>
      <c r="R28" s="40"/>
      <c r="S28" s="25">
        <v>653685.56999999995</v>
      </c>
      <c r="T28" s="25">
        <v>764042.76</v>
      </c>
      <c r="U28" s="40"/>
      <c r="V28" s="25">
        <v>694697.17</v>
      </c>
      <c r="W28" s="25">
        <v>892689</v>
      </c>
      <c r="X28" s="25">
        <f>SUM(W28*AB28)</f>
        <v>910542.78</v>
      </c>
      <c r="Y28" s="25">
        <f>SUM(X28*AB28)</f>
        <v>928753.63560000004</v>
      </c>
      <c r="Z28" s="25">
        <f t="shared" si="18"/>
        <v>947328.70831200003</v>
      </c>
      <c r="AA28" s="25">
        <f>SUM(Z28*AB28)</f>
        <v>966275.28247824009</v>
      </c>
      <c r="AB28" s="61">
        <v>1.02</v>
      </c>
      <c r="AD28" s="44">
        <f t="shared" si="14"/>
        <v>4.0540108229142953E-2</v>
      </c>
      <c r="AE28" s="44">
        <f t="shared" si="15"/>
        <v>4.8914219641193503E-2</v>
      </c>
      <c r="AF28" s="44">
        <f t="shared" si="16"/>
        <v>4.7765523339168538E-2</v>
      </c>
      <c r="AG28" s="44">
        <f t="shared" si="17"/>
        <v>4.7987976234650363E-2</v>
      </c>
    </row>
    <row r="29" spans="1:33" s="24" customFormat="1" ht="15.6" customHeight="1">
      <c r="A29" s="5">
        <v>15</v>
      </c>
      <c r="B29" s="24" t="s">
        <v>40</v>
      </c>
      <c r="C29" s="25">
        <v>579000</v>
      </c>
      <c r="D29" s="25">
        <v>86000</v>
      </c>
      <c r="E29" s="25">
        <v>136000</v>
      </c>
      <c r="F29" s="25">
        <v>44000</v>
      </c>
      <c r="G29" s="25">
        <v>68000</v>
      </c>
      <c r="H29" s="25">
        <v>229000</v>
      </c>
      <c r="I29" s="25">
        <v>312000</v>
      </c>
      <c r="J29" s="25">
        <v>90000</v>
      </c>
      <c r="K29" s="25">
        <v>157000</v>
      </c>
      <c r="L29" s="25">
        <v>91000</v>
      </c>
      <c r="M29" s="25">
        <v>151886</v>
      </c>
      <c r="N29" s="25">
        <v>120459</v>
      </c>
      <c r="O29" s="25">
        <v>251565.53</v>
      </c>
      <c r="P29" s="25">
        <v>157954.93</v>
      </c>
      <c r="Q29" s="25">
        <v>412322.07</v>
      </c>
      <c r="R29" s="40"/>
      <c r="S29" s="25">
        <v>1267377.68</v>
      </c>
      <c r="T29" s="25">
        <v>1088657.19</v>
      </c>
      <c r="U29" s="40"/>
      <c r="V29" s="25">
        <v>218996.62</v>
      </c>
      <c r="W29" s="25">
        <v>219661</v>
      </c>
      <c r="X29" s="25">
        <f>SUM(W29*AB29)+250000</f>
        <v>474054.22</v>
      </c>
      <c r="Y29" s="25">
        <f>SUM(W29*1.02)*AB29</f>
        <v>228535.30439999999</v>
      </c>
      <c r="Z29" s="25">
        <f>SUM(Y29*AB29)</f>
        <v>233106.010488</v>
      </c>
      <c r="AA29" s="25">
        <f>SUM(Z29*AB29)</f>
        <v>237768.13069776</v>
      </c>
      <c r="AB29" s="61">
        <v>1.02</v>
      </c>
      <c r="AD29" s="44">
        <f t="shared" si="14"/>
        <v>1.2779880298945929E-2</v>
      </c>
      <c r="AE29" s="44">
        <f t="shared" si="15"/>
        <v>1.2036158618067666E-2</v>
      </c>
      <c r="AF29" s="44">
        <f t="shared" si="16"/>
        <v>2.4868076939165158E-2</v>
      </c>
      <c r="AG29" s="44">
        <f t="shared" si="17"/>
        <v>1.1808240997345697E-2</v>
      </c>
    </row>
    <row r="30" spans="1:33" s="24" customFormat="1" ht="15.6" customHeight="1">
      <c r="A30" s="5">
        <v>16</v>
      </c>
      <c r="B30" s="24" t="s">
        <v>41</v>
      </c>
      <c r="C30" s="25">
        <v>283000</v>
      </c>
      <c r="D30" s="25">
        <v>457000</v>
      </c>
      <c r="E30" s="25">
        <v>443000</v>
      </c>
      <c r="F30" s="25">
        <v>573000</v>
      </c>
      <c r="G30" s="25">
        <v>843000</v>
      </c>
      <c r="H30" s="25">
        <v>835000</v>
      </c>
      <c r="I30" s="25">
        <v>796000</v>
      </c>
      <c r="J30" s="25">
        <v>972000</v>
      </c>
      <c r="K30" s="25">
        <v>874000</v>
      </c>
      <c r="L30" s="25">
        <v>918000</v>
      </c>
      <c r="M30" s="25">
        <v>875214</v>
      </c>
      <c r="N30" s="25">
        <v>634186</v>
      </c>
      <c r="O30" s="25">
        <v>678165</v>
      </c>
      <c r="P30" s="25">
        <f>SUM(3021840.43-1166122.51-1225000)</f>
        <v>630717.92000000016</v>
      </c>
      <c r="Q30" s="25">
        <f>SUM(4274105.83-Q31-Q39)</f>
        <v>809043.15</v>
      </c>
      <c r="R30" s="40"/>
      <c r="S30" s="25">
        <v>643125.06999999995</v>
      </c>
      <c r="T30" s="25">
        <f>SUM(130048.26+7500.79+7466+4204.42+225+989+999.65+12692+18841+273287.26+198174.95)</f>
        <v>654428.33000000007</v>
      </c>
      <c r="U30" s="40"/>
      <c r="V30" s="25">
        <v>395188.16</v>
      </c>
      <c r="W30" s="25">
        <v>549978</v>
      </c>
      <c r="X30" s="25">
        <f>SUM(W30*AB30)</f>
        <v>560977.56000000006</v>
      </c>
      <c r="Y30" s="25">
        <f>SUM(X30*AB30)</f>
        <v>572197.11120000004</v>
      </c>
      <c r="Z30" s="25">
        <f>SUM(Y30*AB30)</f>
        <v>583641.05342400004</v>
      </c>
      <c r="AA30" s="25">
        <f>SUM(Z30*AB30)</f>
        <v>595313.87449248007</v>
      </c>
      <c r="AB30" s="61">
        <v>1.02</v>
      </c>
      <c r="AD30" s="44">
        <f t="shared" si="14"/>
        <v>2.3061805156448036E-2</v>
      </c>
      <c r="AE30" s="44">
        <f t="shared" si="15"/>
        <v>3.013562919429311E-2</v>
      </c>
      <c r="AF30" s="44">
        <f t="shared" si="16"/>
        <v>2.9427927301702198E-2</v>
      </c>
      <c r="AG30" s="44">
        <f t="shared" si="17"/>
        <v>2.9564978613582711E-2</v>
      </c>
    </row>
    <row r="31" spans="1:33" s="24" customFormat="1" ht="15.6" customHeight="1">
      <c r="A31" s="5">
        <v>17</v>
      </c>
      <c r="B31" s="24" t="s">
        <v>42</v>
      </c>
      <c r="C31" s="25">
        <v>878000</v>
      </c>
      <c r="D31" s="25">
        <v>893000</v>
      </c>
      <c r="E31" s="25">
        <v>2080000</v>
      </c>
      <c r="F31" s="25">
        <v>1096000</v>
      </c>
      <c r="G31" s="25">
        <v>1719000</v>
      </c>
      <c r="H31" s="25">
        <v>1835000</v>
      </c>
      <c r="I31" s="25">
        <v>2168000</v>
      </c>
      <c r="J31" s="25">
        <v>2160000</v>
      </c>
      <c r="K31" s="25">
        <v>2170000</v>
      </c>
      <c r="L31" s="25">
        <v>2956000</v>
      </c>
      <c r="M31" s="25">
        <v>2291729</v>
      </c>
      <c r="N31" s="25">
        <v>2295200</v>
      </c>
      <c r="O31" s="25">
        <f>SUM(1171549.61+1070000)</f>
        <v>2241549.6100000003</v>
      </c>
      <c r="P31" s="25">
        <f>SUM(1166122.51+1225000)</f>
        <v>2391122.5099999998</v>
      </c>
      <c r="Q31" s="25">
        <f>SUM(1664000+1153345.06)</f>
        <v>2817345.06</v>
      </c>
      <c r="R31" s="40"/>
      <c r="S31" s="25">
        <f>SUM(1096013.76+1445000)</f>
        <v>2541013.7599999998</v>
      </c>
      <c r="T31" s="25">
        <f>SUM(1179093.12+1312557.6)</f>
        <v>2491650.7200000002</v>
      </c>
      <c r="U31" s="40"/>
      <c r="V31" s="25">
        <f>SUM(1315449.96+1369070.05)</f>
        <v>2684520.01</v>
      </c>
      <c r="W31" s="25">
        <v>2626325</v>
      </c>
      <c r="X31" s="25">
        <f>SUM(2189196.88+483284.38)</f>
        <v>2672481.2599999998</v>
      </c>
      <c r="Y31" s="25">
        <f>SUM(2223284.38+454636.88)</f>
        <v>2677921.2599999998</v>
      </c>
      <c r="Z31" s="25">
        <f>SUM(2324636.88+419350.63)</f>
        <v>2743987.51</v>
      </c>
      <c r="AA31" s="25">
        <f>SUM(2389350.63+378093.13)</f>
        <v>2767443.76</v>
      </c>
      <c r="AB31" s="59"/>
      <c r="AD31" s="44">
        <f t="shared" si="14"/>
        <v>0.15665924153498409</v>
      </c>
      <c r="AE31" s="44">
        <f t="shared" si="15"/>
        <v>0.14390749510653489</v>
      </c>
      <c r="AF31" s="44">
        <f t="shared" si="16"/>
        <v>0.14019381494411556</v>
      </c>
      <c r="AG31" s="44">
        <f t="shared" si="17"/>
        <v>0.13836610362243726</v>
      </c>
    </row>
    <row r="32" spans="1:33" s="24" customFormat="1" ht="15.6" customHeight="1">
      <c r="A32" s="5">
        <v>18</v>
      </c>
      <c r="B32" s="24" t="s">
        <v>43</v>
      </c>
      <c r="C32" s="25">
        <v>72000</v>
      </c>
      <c r="D32" s="25">
        <v>74000</v>
      </c>
      <c r="E32" s="25">
        <v>34000</v>
      </c>
      <c r="F32" s="25">
        <v>48000</v>
      </c>
      <c r="G32" s="25">
        <v>37000</v>
      </c>
      <c r="H32" s="25">
        <v>264000</v>
      </c>
      <c r="I32" s="25">
        <v>39000</v>
      </c>
      <c r="J32" s="25">
        <v>59000</v>
      </c>
      <c r="K32" s="25">
        <v>49000</v>
      </c>
      <c r="L32" s="25">
        <v>172000</v>
      </c>
      <c r="M32" s="25">
        <v>184641</v>
      </c>
      <c r="N32" s="25">
        <v>31476</v>
      </c>
      <c r="O32" s="25">
        <f>SUM(7162853.07-O30-O31-O33)</f>
        <v>17602.459999999963</v>
      </c>
      <c r="P32" s="25">
        <v>0</v>
      </c>
      <c r="Q32" s="25">
        <f>SUM(88784.76+101560.08+26915.77+430457.01)</f>
        <v>647717.62</v>
      </c>
      <c r="R32" s="40"/>
      <c r="S32" s="25">
        <v>1617075.28</v>
      </c>
      <c r="T32" s="25">
        <f>+T39</f>
        <v>1207759.1500000001</v>
      </c>
      <c r="U32" s="40"/>
      <c r="V32" s="25">
        <f>+V39</f>
        <v>328093.49</v>
      </c>
      <c r="W32" s="25">
        <f>SUM(W39)</f>
        <v>0</v>
      </c>
      <c r="X32" s="25">
        <f>SUM(X39)</f>
        <v>0</v>
      </c>
      <c r="Y32" s="25">
        <f>SUM(Y39)</f>
        <v>0</v>
      </c>
      <c r="Z32" s="25">
        <f t="shared" ref="Z32:AA32" si="19">SUM(Z39)</f>
        <v>0</v>
      </c>
      <c r="AA32" s="25">
        <f t="shared" si="19"/>
        <v>0</v>
      </c>
      <c r="AB32" s="59"/>
      <c r="AD32" s="44">
        <f t="shared" si="14"/>
        <v>1.9146393807646041E-2</v>
      </c>
      <c r="AE32" s="44">
        <f t="shared" si="15"/>
        <v>0</v>
      </c>
      <c r="AF32" s="44">
        <f t="shared" si="16"/>
        <v>0</v>
      </c>
      <c r="AG32" s="44">
        <f t="shared" si="17"/>
        <v>0</v>
      </c>
    </row>
    <row r="33" spans="1:33" s="24" customFormat="1" ht="15.6" customHeight="1">
      <c r="A33" s="5">
        <v>19</v>
      </c>
      <c r="B33" s="26" t="s">
        <v>44</v>
      </c>
      <c r="C33" s="25"/>
      <c r="D33" s="25"/>
      <c r="E33" s="25"/>
      <c r="F33" s="25"/>
      <c r="G33" s="25"/>
      <c r="H33" s="25"/>
      <c r="I33" s="25"/>
      <c r="J33" s="25"/>
      <c r="K33" s="25">
        <v>0</v>
      </c>
      <c r="L33" s="25">
        <v>0</v>
      </c>
      <c r="M33" s="25">
        <v>0</v>
      </c>
      <c r="N33" s="25">
        <v>0</v>
      </c>
      <c r="O33" s="25">
        <f>SUM(53700+4171836)</f>
        <v>4225536</v>
      </c>
      <c r="P33" s="25">
        <v>0</v>
      </c>
      <c r="Q33" s="25">
        <v>0</v>
      </c>
      <c r="R33" s="40"/>
      <c r="S33" s="25">
        <v>0</v>
      </c>
      <c r="T33" s="25">
        <f>SUM(6017375.39+28521.8)</f>
        <v>6045897.1899999995</v>
      </c>
      <c r="U33" s="40"/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59"/>
      <c r="AD33" s="44">
        <f t="shared" si="14"/>
        <v>0</v>
      </c>
      <c r="AE33" s="44">
        <f t="shared" si="15"/>
        <v>0</v>
      </c>
      <c r="AF33" s="44">
        <f t="shared" si="16"/>
        <v>0</v>
      </c>
      <c r="AG33" s="44">
        <f t="shared" si="17"/>
        <v>0</v>
      </c>
    </row>
    <row r="34" spans="1:33" s="24" customFormat="1" ht="16.7" customHeight="1" thickBot="1">
      <c r="A34" s="5">
        <v>20</v>
      </c>
      <c r="B34" s="28" t="s">
        <v>45</v>
      </c>
      <c r="C34" s="29">
        <f t="shared" ref="C34:J34" si="20">SUM(C25:C32)</f>
        <v>10992000</v>
      </c>
      <c r="D34" s="29">
        <f t="shared" si="20"/>
        <v>11293000</v>
      </c>
      <c r="E34" s="29">
        <f t="shared" si="20"/>
        <v>13010000</v>
      </c>
      <c r="F34" s="29">
        <f t="shared" si="20"/>
        <v>12789000</v>
      </c>
      <c r="G34" s="29">
        <f t="shared" si="20"/>
        <v>14229000</v>
      </c>
      <c r="H34" s="29">
        <f t="shared" si="20"/>
        <v>15922000</v>
      </c>
      <c r="I34" s="29">
        <f t="shared" si="20"/>
        <v>16280000</v>
      </c>
      <c r="J34" s="29">
        <f t="shared" si="20"/>
        <v>16823000</v>
      </c>
      <c r="K34" s="29">
        <f t="shared" ref="K34:Q34" si="21">SUM(K25:K33)</f>
        <v>17277000</v>
      </c>
      <c r="L34" s="29">
        <f t="shared" si="21"/>
        <v>17846000</v>
      </c>
      <c r="M34" s="29">
        <f t="shared" si="21"/>
        <v>17674147</v>
      </c>
      <c r="N34" s="29">
        <f t="shared" si="21"/>
        <v>16243609</v>
      </c>
      <c r="O34" s="29">
        <f t="shared" si="21"/>
        <v>20273159.650000002</v>
      </c>
      <c r="P34" s="29">
        <f t="shared" si="21"/>
        <v>16288236.199999997</v>
      </c>
      <c r="Q34" s="29">
        <f t="shared" si="21"/>
        <v>18100246.289999999</v>
      </c>
      <c r="R34" s="41"/>
      <c r="S34" s="29">
        <f t="shared" ref="S34:Z34" si="22">SUM(S25:S32)</f>
        <v>19761275.240000002</v>
      </c>
      <c r="T34" s="29">
        <f>SUM(T25:T33)</f>
        <v>24838397.219999999</v>
      </c>
      <c r="U34" s="41"/>
      <c r="V34" s="29">
        <f>SUM(V25:V32)+8.46</f>
        <v>17136046.259999994</v>
      </c>
      <c r="W34" s="29">
        <f t="shared" si="22"/>
        <v>18250091.824999999</v>
      </c>
      <c r="X34" s="29">
        <f t="shared" si="22"/>
        <v>19062761.513875</v>
      </c>
      <c r="Y34" s="29">
        <f t="shared" si="22"/>
        <v>19353882.127860624</v>
      </c>
      <c r="Z34" s="29">
        <f t="shared" si="22"/>
        <v>19975554.417292744</v>
      </c>
      <c r="AA34" s="29">
        <f t="shared" ref="AA34" si="23">SUM(AA25:AA32)</f>
        <v>20575331.93892388</v>
      </c>
      <c r="AB34" s="59"/>
      <c r="AD34" s="44"/>
      <c r="AE34" s="44"/>
    </row>
    <row r="35" spans="1:33" s="24" customFormat="1" ht="6.75" customHeight="1" thickTop="1">
      <c r="A35" s="5"/>
      <c r="B35" s="2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0"/>
      <c r="S35" s="25"/>
      <c r="T35" s="25"/>
      <c r="U35" s="40"/>
      <c r="V35" s="25"/>
      <c r="W35" s="25"/>
      <c r="X35" s="25"/>
      <c r="Y35" s="25"/>
      <c r="Z35" s="25"/>
      <c r="AA35" s="25"/>
      <c r="AB35" s="59"/>
      <c r="AD35" s="44"/>
      <c r="AE35" s="44"/>
    </row>
    <row r="36" spans="1:33" s="28" customFormat="1" ht="18" customHeight="1">
      <c r="A36" s="5">
        <v>21</v>
      </c>
      <c r="B36" s="30" t="s">
        <v>46</v>
      </c>
      <c r="C36" s="31">
        <f t="shared" ref="C36:AA36" si="24">C22-C34</f>
        <v>-194000</v>
      </c>
      <c r="D36" s="31">
        <f t="shared" si="24"/>
        <v>-861000</v>
      </c>
      <c r="E36" s="31">
        <f t="shared" si="24"/>
        <v>-2144000</v>
      </c>
      <c r="F36" s="31">
        <f t="shared" si="24"/>
        <v>-1145000</v>
      </c>
      <c r="G36" s="31">
        <f t="shared" si="24"/>
        <v>-2005000</v>
      </c>
      <c r="H36" s="31">
        <f t="shared" si="24"/>
        <v>-3156000</v>
      </c>
      <c r="I36" s="31">
        <f t="shared" si="24"/>
        <v>-364000</v>
      </c>
      <c r="J36" s="31">
        <f t="shared" si="24"/>
        <v>-2430000</v>
      </c>
      <c r="K36" s="31">
        <f t="shared" si="24"/>
        <v>-1706000</v>
      </c>
      <c r="L36" s="31">
        <f t="shared" si="24"/>
        <v>-1225000</v>
      </c>
      <c r="M36" s="31">
        <f t="shared" si="24"/>
        <v>-425613</v>
      </c>
      <c r="N36" s="31">
        <f t="shared" si="24"/>
        <v>84377</v>
      </c>
      <c r="O36" s="31">
        <f t="shared" si="24"/>
        <v>68354.39999999851</v>
      </c>
      <c r="P36" s="31">
        <f t="shared" si="24"/>
        <v>225382.62000000104</v>
      </c>
      <c r="Q36" s="31">
        <f t="shared" si="24"/>
        <v>-546403.85000000149</v>
      </c>
      <c r="R36" s="42"/>
      <c r="S36" s="31">
        <f t="shared" si="24"/>
        <v>-2812500.4100000039</v>
      </c>
      <c r="T36" s="31">
        <f t="shared" si="24"/>
        <v>-1577262.5</v>
      </c>
      <c r="U36" s="42"/>
      <c r="V36" s="31">
        <f t="shared" si="24"/>
        <v>1696714.7600000054</v>
      </c>
      <c r="W36" s="31">
        <f t="shared" si="24"/>
        <v>370826.29500000179</v>
      </c>
      <c r="X36" s="31">
        <f t="shared" si="24"/>
        <v>-492515.51237499714</v>
      </c>
      <c r="Y36" s="31">
        <f t="shared" si="24"/>
        <v>-508350.19342312589</v>
      </c>
      <c r="Z36" s="31">
        <f t="shared" si="24"/>
        <v>-785772.04661630839</v>
      </c>
      <c r="AA36" s="31">
        <f t="shared" si="24"/>
        <v>-1076428.863399975</v>
      </c>
      <c r="AB36" s="63"/>
      <c r="AD36" s="46"/>
      <c r="AE36" s="46"/>
    </row>
    <row r="37" spans="1:33" s="24" customFormat="1" ht="6.75" customHeight="1">
      <c r="A37" s="5"/>
      <c r="B37" s="28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0"/>
      <c r="S37" s="25"/>
      <c r="T37" s="25"/>
      <c r="U37" s="40"/>
      <c r="V37" s="25"/>
      <c r="W37" s="25"/>
      <c r="X37" s="25"/>
      <c r="Y37" s="25"/>
      <c r="Z37" s="25"/>
      <c r="AA37" s="25"/>
      <c r="AB37" s="59"/>
      <c r="AD37" s="44"/>
      <c r="AE37" s="44"/>
    </row>
    <row r="38" spans="1:33" s="28" customFormat="1" ht="12.75">
      <c r="A38" s="5">
        <v>22</v>
      </c>
      <c r="B38" s="24" t="s">
        <v>47</v>
      </c>
      <c r="C38" s="25"/>
      <c r="D38" s="25">
        <v>2000000</v>
      </c>
      <c r="E38" s="25"/>
      <c r="F38" s="25">
        <v>15329000</v>
      </c>
      <c r="G38" s="25"/>
      <c r="H38" s="25">
        <v>3740000</v>
      </c>
      <c r="I38" s="25"/>
      <c r="J38" s="25"/>
      <c r="K38" s="25">
        <v>7000000</v>
      </c>
      <c r="L38" s="25"/>
      <c r="M38" s="25"/>
      <c r="N38" s="25"/>
      <c r="O38" s="25"/>
      <c r="P38" s="25"/>
      <c r="Q38" s="25">
        <v>446500</v>
      </c>
      <c r="R38" s="40"/>
      <c r="S38" s="25"/>
      <c r="T38" s="25">
        <v>3790000</v>
      </c>
      <c r="U38" s="40"/>
      <c r="V38" s="25"/>
      <c r="W38" s="25"/>
      <c r="X38" s="25"/>
      <c r="Y38" s="25"/>
      <c r="Z38" s="25"/>
      <c r="AA38" s="25"/>
      <c r="AB38" s="63"/>
      <c r="AD38" s="46"/>
      <c r="AE38" s="46"/>
    </row>
    <row r="39" spans="1:33" s="28" customFormat="1" ht="12.75">
      <c r="A39" s="5">
        <v>23</v>
      </c>
      <c r="B39" s="24" t="s">
        <v>48</v>
      </c>
      <c r="C39" s="25"/>
      <c r="D39" s="25"/>
      <c r="E39" s="25"/>
      <c r="F39" s="25"/>
      <c r="G39" s="25"/>
      <c r="H39" s="25">
        <v>12986000</v>
      </c>
      <c r="I39" s="25">
        <v>1443000</v>
      </c>
      <c r="J39" s="25"/>
      <c r="K39" s="25"/>
      <c r="L39" s="25"/>
      <c r="M39" s="25"/>
      <c r="N39" s="25"/>
      <c r="O39" s="25"/>
      <c r="P39" s="25"/>
      <c r="Q39" s="25">
        <f>SUM(88784.76+101560.08+26915.77+430457.01)</f>
        <v>647717.62</v>
      </c>
      <c r="R39" s="40"/>
      <c r="S39" s="25">
        <v>1617075.28</v>
      </c>
      <c r="T39" s="25">
        <f>SUM(207410.19+490397.69+13511+428697.91+67742.36)</f>
        <v>1207759.1500000001</v>
      </c>
      <c r="U39" s="40"/>
      <c r="V39" s="25">
        <v>328093.49</v>
      </c>
      <c r="W39" s="25">
        <v>0</v>
      </c>
      <c r="X39" s="25">
        <f>+W39</f>
        <v>0</v>
      </c>
      <c r="Y39" s="25">
        <f>+X39</f>
        <v>0</v>
      </c>
      <c r="Z39" s="25">
        <f>+Y39</f>
        <v>0</v>
      </c>
      <c r="AA39" s="25">
        <f>+Z39</f>
        <v>0</v>
      </c>
      <c r="AB39" s="63"/>
      <c r="AD39" s="46"/>
      <c r="AE39" s="46"/>
    </row>
    <row r="40" spans="1:33" s="28" customFormat="1" ht="12.75">
      <c r="A40" s="5">
        <v>24</v>
      </c>
      <c r="B40" s="24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>
        <v>454773.21</v>
      </c>
      <c r="R40" s="40"/>
      <c r="S40" s="25"/>
      <c r="T40" s="25"/>
      <c r="U40" s="40"/>
      <c r="V40" s="25"/>
      <c r="W40" s="25"/>
      <c r="X40" s="25"/>
      <c r="Y40" s="25"/>
      <c r="Z40" s="25"/>
      <c r="AA40" s="25"/>
      <c r="AB40" s="63"/>
      <c r="AD40" s="46"/>
      <c r="AE40" s="46"/>
    </row>
    <row r="41" spans="1:33" s="28" customFormat="1" ht="12.75">
      <c r="A41" s="5">
        <v>25</v>
      </c>
      <c r="B41" s="24" t="s">
        <v>50</v>
      </c>
      <c r="C41" s="25"/>
      <c r="D41" s="25"/>
      <c r="E41" s="25"/>
      <c r="F41" s="25"/>
      <c r="G41" s="25"/>
      <c r="H41" s="25"/>
      <c r="I41" s="25">
        <v>1135000</v>
      </c>
      <c r="J41" s="25"/>
      <c r="K41" s="25"/>
      <c r="L41" s="25">
        <v>200000</v>
      </c>
      <c r="M41" s="25">
        <v>200000</v>
      </c>
      <c r="N41" s="25">
        <v>200000</v>
      </c>
      <c r="O41" s="25">
        <v>200000</v>
      </c>
      <c r="P41" s="25">
        <v>200000</v>
      </c>
      <c r="Q41" s="25"/>
      <c r="R41" s="40"/>
      <c r="S41" s="25"/>
      <c r="T41" s="25"/>
      <c r="U41" s="40"/>
      <c r="V41" s="25"/>
      <c r="W41" s="25"/>
      <c r="X41" s="25"/>
      <c r="Y41" s="25"/>
      <c r="Z41" s="25"/>
      <c r="AA41" s="25"/>
      <c r="AB41" s="63"/>
      <c r="AD41" s="46"/>
      <c r="AE41" s="46"/>
    </row>
    <row r="42" spans="1:33" s="28" customFormat="1" ht="12.75">
      <c r="A42" s="5">
        <v>26</v>
      </c>
      <c r="B42" s="24" t="s">
        <v>43</v>
      </c>
      <c r="C42" s="25"/>
      <c r="D42" s="25">
        <v>-1653000</v>
      </c>
      <c r="E42" s="25"/>
      <c r="F42" s="25">
        <v>-2958000</v>
      </c>
      <c r="G42" s="25">
        <v>-2654000</v>
      </c>
      <c r="H42" s="25">
        <v>-17350000</v>
      </c>
      <c r="I42" s="25">
        <v>-3936000</v>
      </c>
      <c r="J42" s="25">
        <v>-465000</v>
      </c>
      <c r="K42" s="25"/>
      <c r="L42" s="25"/>
      <c r="M42" s="25"/>
      <c r="N42" s="25"/>
      <c r="O42" s="25"/>
      <c r="P42" s="25"/>
      <c r="Q42" s="25"/>
      <c r="R42" s="40"/>
      <c r="S42" s="25"/>
      <c r="T42" s="25"/>
      <c r="U42" s="40"/>
      <c r="V42" s="25"/>
      <c r="W42" s="25"/>
      <c r="X42" s="25"/>
      <c r="Y42" s="25"/>
      <c r="Z42" s="25"/>
      <c r="AA42" s="25"/>
      <c r="AB42" s="63"/>
      <c r="AD42" s="46"/>
      <c r="AE42" s="46"/>
    </row>
    <row r="43" spans="1:33" s="24" customFormat="1" ht="18" customHeight="1">
      <c r="A43" s="5">
        <v>27</v>
      </c>
      <c r="B43" s="32" t="s">
        <v>51</v>
      </c>
      <c r="C43" s="31">
        <f t="shared" ref="C43:N43" si="25">C13+C22-C34+C38+C39+C41+C42</f>
        <v>7795000</v>
      </c>
      <c r="D43" s="31">
        <f t="shared" si="25"/>
        <v>7281000</v>
      </c>
      <c r="E43" s="31">
        <f t="shared" si="25"/>
        <v>5137000</v>
      </c>
      <c r="F43" s="31">
        <f t="shared" si="25"/>
        <v>16363000</v>
      </c>
      <c r="G43" s="31">
        <f t="shared" si="25"/>
        <v>11704000</v>
      </c>
      <c r="H43" s="31">
        <f t="shared" si="25"/>
        <v>7924000</v>
      </c>
      <c r="I43" s="31">
        <f t="shared" si="25"/>
        <v>6202000</v>
      </c>
      <c r="J43" s="31">
        <f t="shared" si="25"/>
        <v>3307000</v>
      </c>
      <c r="K43" s="31">
        <f t="shared" si="25"/>
        <v>8601000</v>
      </c>
      <c r="L43" s="31">
        <f t="shared" si="25"/>
        <v>7576000</v>
      </c>
      <c r="M43" s="31">
        <f t="shared" si="25"/>
        <v>7350387</v>
      </c>
      <c r="N43" s="31">
        <f t="shared" si="25"/>
        <v>7634764</v>
      </c>
      <c r="O43" s="31">
        <f>O13+O22-O34+O38+O39+O41+O42+9287</f>
        <v>7912299.4299999997</v>
      </c>
      <c r="P43" s="31">
        <f>P13+P22-P34+P38+P39+P40+P41+P42-3598</f>
        <v>8334084.0500000026</v>
      </c>
      <c r="Q43" s="31">
        <f>Q13+Q22-Q34+Q38+Q39+Q40+Q41+Q42-1163</f>
        <v>9335508.0300000031</v>
      </c>
      <c r="R43" s="42"/>
      <c r="S43" s="31">
        <f>S13+S22-S34+S38+S39+S41+S42-799.25</f>
        <v>8139283.6499999976</v>
      </c>
      <c r="T43" s="31">
        <f>T13+T22-T34+T38+T39+T41+T42+4875</f>
        <v>11564655.299999999</v>
      </c>
      <c r="U43" s="42"/>
      <c r="V43" s="31">
        <f t="shared" ref="V43:AA43" si="26">V13+V22-V34+V38+V39+V41+V42</f>
        <v>13589463.550000006</v>
      </c>
      <c r="W43" s="31">
        <f t="shared" si="26"/>
        <v>13960289.84500001</v>
      </c>
      <c r="X43" s="31">
        <f t="shared" si="26"/>
        <v>13467774.332625013</v>
      </c>
      <c r="Y43" s="31">
        <f t="shared" si="26"/>
        <v>12959424.139201887</v>
      </c>
      <c r="Z43" s="31">
        <f t="shared" si="26"/>
        <v>12173652.092585579</v>
      </c>
      <c r="AA43" s="31">
        <f t="shared" si="26"/>
        <v>11097223.229185604</v>
      </c>
      <c r="AB43" s="63"/>
      <c r="AC43" s="28"/>
      <c r="AD43" s="46"/>
      <c r="AE43" s="44"/>
    </row>
    <row r="44" spans="1:33" s="24" customFormat="1" ht="6" customHeight="1">
      <c r="A44" s="5"/>
      <c r="B44" s="3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38"/>
      <c r="S44" s="20"/>
      <c r="T44" s="20"/>
      <c r="U44" s="38"/>
      <c r="V44" s="20"/>
      <c r="W44" s="20"/>
      <c r="X44" s="20"/>
      <c r="Y44" s="20"/>
      <c r="Z44" s="20"/>
      <c r="AA44" s="20"/>
      <c r="AB44" s="63"/>
      <c r="AC44" s="28"/>
      <c r="AD44" s="46"/>
      <c r="AE44" s="44"/>
    </row>
    <row r="45" spans="1:33" s="7" customFormat="1" ht="15">
      <c r="A45" s="34" t="s">
        <v>52</v>
      </c>
      <c r="B45" s="65" t="s">
        <v>53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34"/>
      <c r="Q45" s="56"/>
      <c r="R45" s="52"/>
      <c r="S45" s="52"/>
      <c r="T45" s="34" t="s">
        <v>52</v>
      </c>
      <c r="U45" s="52"/>
      <c r="V45" s="66" t="s">
        <v>54</v>
      </c>
      <c r="W45" s="52"/>
      <c r="X45" s="52"/>
      <c r="Y45" s="52"/>
      <c r="Z45" s="52"/>
      <c r="AA45" s="52"/>
      <c r="AB45" s="63"/>
      <c r="AC45" s="28"/>
      <c r="AD45" s="46"/>
      <c r="AE45" s="44"/>
    </row>
    <row r="46" spans="1:33" s="7" customFormat="1" ht="12.75">
      <c r="A46" s="5">
        <v>3</v>
      </c>
      <c r="B46" s="6" t="s">
        <v>55</v>
      </c>
      <c r="C46" s="52"/>
      <c r="D46" s="52"/>
      <c r="E46" s="5"/>
      <c r="F46" s="55"/>
      <c r="G46" s="52"/>
      <c r="H46" s="52"/>
      <c r="I46" s="52"/>
      <c r="J46" s="52"/>
      <c r="K46" s="52"/>
      <c r="L46" s="52"/>
      <c r="M46" s="5"/>
      <c r="N46" s="55"/>
      <c r="O46" s="52"/>
      <c r="P46" s="5"/>
      <c r="Q46" s="57"/>
      <c r="R46" s="52"/>
      <c r="S46" s="52"/>
      <c r="T46" s="5">
        <v>11</v>
      </c>
      <c r="U46" s="52"/>
      <c r="V46" s="57" t="s">
        <v>65</v>
      </c>
      <c r="W46" s="52"/>
      <c r="X46" s="52"/>
      <c r="Y46" s="52"/>
      <c r="Z46" s="52"/>
      <c r="AA46" s="52"/>
      <c r="AB46" s="63"/>
      <c r="AC46" s="28"/>
      <c r="AD46" s="46"/>
      <c r="AE46" s="44"/>
    </row>
    <row r="47" spans="1:33" s="7" customFormat="1" ht="12.75">
      <c r="A47" s="5">
        <v>4</v>
      </c>
      <c r="B47" s="6" t="s">
        <v>57</v>
      </c>
      <c r="C47" s="52"/>
      <c r="D47" s="52"/>
      <c r="E47" s="5"/>
      <c r="F47" s="55"/>
      <c r="G47" s="52"/>
      <c r="H47" s="52"/>
      <c r="I47" s="52"/>
      <c r="J47" s="52"/>
      <c r="K47" s="52"/>
      <c r="L47" s="52"/>
      <c r="M47" s="5"/>
      <c r="N47" s="55"/>
      <c r="O47" s="52"/>
      <c r="P47" s="5"/>
      <c r="Q47" s="57"/>
      <c r="R47" s="52"/>
      <c r="S47" s="52"/>
      <c r="T47" s="5">
        <v>12</v>
      </c>
      <c r="U47" s="52"/>
      <c r="V47" s="57" t="s">
        <v>58</v>
      </c>
      <c r="W47" s="52"/>
      <c r="X47" s="52"/>
      <c r="Y47" s="52"/>
      <c r="Z47" s="52"/>
      <c r="AA47" s="52"/>
      <c r="AB47" s="63"/>
      <c r="AC47" s="28"/>
      <c r="AD47" s="46"/>
      <c r="AE47" s="44"/>
    </row>
    <row r="48" spans="1:33" s="7" customFormat="1" ht="12.75">
      <c r="A48" s="5">
        <v>5</v>
      </c>
      <c r="B48" s="6" t="s">
        <v>59</v>
      </c>
      <c r="C48" s="52"/>
      <c r="D48" s="52"/>
      <c r="E48" s="5"/>
      <c r="F48" s="55"/>
      <c r="G48" s="52"/>
      <c r="H48" s="52"/>
      <c r="I48" s="52"/>
      <c r="J48" s="52"/>
      <c r="K48" s="52"/>
      <c r="L48" s="52"/>
      <c r="M48" s="5"/>
      <c r="N48" s="55"/>
      <c r="O48" s="52"/>
      <c r="P48" s="5"/>
      <c r="Q48" s="57"/>
      <c r="R48" s="52"/>
      <c r="S48" s="52"/>
      <c r="T48" s="5" t="s">
        <v>60</v>
      </c>
      <c r="U48" s="52"/>
      <c r="V48" s="57" t="s">
        <v>61</v>
      </c>
      <c r="W48" s="52"/>
      <c r="X48" s="52"/>
      <c r="Y48" s="52"/>
      <c r="Z48" s="52"/>
      <c r="AA48" s="52"/>
      <c r="AB48" s="63"/>
      <c r="AC48" s="28"/>
      <c r="AD48" s="46"/>
      <c r="AE48" s="44"/>
    </row>
    <row r="49" spans="1:31" s="7" customFormat="1" ht="12.75">
      <c r="A49" s="5" t="s">
        <v>62</v>
      </c>
      <c r="B49" s="6" t="s">
        <v>63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"/>
      <c r="Q49" s="57"/>
      <c r="R49" s="52"/>
      <c r="S49" s="52"/>
      <c r="T49" s="5">
        <v>17</v>
      </c>
      <c r="U49" s="52"/>
      <c r="V49" s="57" t="s">
        <v>64</v>
      </c>
      <c r="W49" s="52"/>
      <c r="X49" s="52"/>
      <c r="Y49" s="52"/>
      <c r="Z49" s="52"/>
      <c r="AA49" s="52"/>
      <c r="AB49" s="63"/>
      <c r="AC49" s="28"/>
      <c r="AD49" s="46"/>
      <c r="AE49" s="44"/>
    </row>
    <row r="50" spans="1:31" ht="12.75">
      <c r="A50" s="5"/>
      <c r="B50" s="6"/>
      <c r="P50" s="5"/>
      <c r="Q50" s="55"/>
      <c r="AB50" s="63"/>
      <c r="AC50" s="28"/>
      <c r="AD50" s="46"/>
    </row>
    <row r="51" spans="1:31" ht="12.75">
      <c r="A51" s="5"/>
      <c r="B51" s="6"/>
      <c r="AB51" s="63"/>
      <c r="AC51" s="28"/>
      <c r="AD51" s="46"/>
    </row>
    <row r="52" spans="1:31" ht="12.75">
      <c r="A52" s="5"/>
      <c r="B52" s="6"/>
      <c r="AB52" s="63"/>
      <c r="AC52" s="28"/>
      <c r="AD52" s="46"/>
    </row>
    <row r="53" spans="1:31" ht="12.75">
      <c r="AB53" s="63"/>
      <c r="AC53" s="28"/>
      <c r="AD53" s="46"/>
    </row>
    <row r="54" spans="1:31" ht="12.75">
      <c r="AB54" s="63"/>
      <c r="AC54" s="28"/>
      <c r="AD54" s="46"/>
    </row>
    <row r="55" spans="1:31" ht="12.75">
      <c r="AB55" s="63"/>
      <c r="AC55" s="28"/>
      <c r="AD55" s="46"/>
    </row>
    <row r="56" spans="1:31" ht="12.75">
      <c r="AB56" s="63"/>
      <c r="AC56" s="28"/>
      <c r="AD56" s="46"/>
    </row>
    <row r="57" spans="1:31" ht="12.75">
      <c r="AB57" s="63"/>
      <c r="AC57" s="28"/>
      <c r="AD57" s="46"/>
    </row>
    <row r="58" spans="1:31" ht="12.75">
      <c r="AB58" s="63"/>
      <c r="AC58" s="28"/>
      <c r="AD58" s="46"/>
    </row>
    <row r="59" spans="1:31" ht="12.75">
      <c r="AB59" s="63"/>
      <c r="AC59" s="28"/>
      <c r="AD59" s="46"/>
    </row>
    <row r="60" spans="1:31" ht="12.75">
      <c r="AB60" s="63"/>
      <c r="AC60" s="28"/>
      <c r="AD60" s="46"/>
    </row>
    <row r="61" spans="1:31" ht="12.75">
      <c r="AB61" s="63"/>
      <c r="AC61" s="28"/>
      <c r="AD61" s="46"/>
    </row>
    <row r="62" spans="1:31" ht="12.75">
      <c r="AB62" s="63"/>
      <c r="AC62" s="28"/>
      <c r="AD62" s="46"/>
    </row>
    <row r="63" spans="1:31" ht="12.75">
      <c r="AB63" s="63"/>
      <c r="AC63" s="28"/>
      <c r="AD63" s="46"/>
    </row>
    <row r="64" spans="1:31" ht="12.75">
      <c r="AB64" s="63"/>
      <c r="AC64" s="28"/>
      <c r="AD64" s="46"/>
    </row>
    <row r="65" spans="28:30" ht="12.75">
      <c r="AB65" s="63"/>
      <c r="AC65" s="28"/>
      <c r="AD65" s="46"/>
    </row>
    <row r="66" spans="28:30" ht="12.75">
      <c r="AB66" s="63"/>
      <c r="AC66" s="28"/>
      <c r="AD66" s="46"/>
    </row>
  </sheetData>
  <printOptions horizontalCentered="1"/>
  <pageMargins left="0" right="0" top="0" bottom="0.5" header="0.5" footer="0.15"/>
  <pageSetup paperSize="5" scale="87" orientation="landscape" verticalDpi="300" r:id="rId1"/>
  <headerFooter>
    <oddFooter>Page &amp;P&amp;R&amp;A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AG66"/>
  <sheetViews>
    <sheetView showRuler="0" topLeftCell="A7" zoomScale="120" zoomScaleNormal="120" zoomScalePageLayoutView="150" workbookViewId="0">
      <selection activeCell="X25" sqref="X25"/>
    </sheetView>
  </sheetViews>
  <sheetFormatPr defaultRowHeight="12"/>
  <cols>
    <col min="1" max="1" width="5.42578125" style="3" bestFit="1" customWidth="1"/>
    <col min="2" max="2" width="34.7109375" style="1" customWidth="1"/>
    <col min="3" max="5" width="10.42578125" style="47" hidden="1" customWidth="1"/>
    <col min="6" max="6" width="10.28515625" style="47" hidden="1" customWidth="1"/>
    <col min="7" max="7" width="10.42578125" style="47" hidden="1" customWidth="1"/>
    <col min="8" max="8" width="11" style="47" hidden="1" customWidth="1"/>
    <col min="9" max="13" width="10.42578125" style="47" hidden="1" customWidth="1"/>
    <col min="14" max="15" width="13.7109375" style="47" hidden="1" customWidth="1"/>
    <col min="16" max="17" width="13.7109375" style="47" customWidth="1"/>
    <col min="18" max="18" width="1.7109375" style="47" hidden="1" customWidth="1"/>
    <col min="19" max="20" width="13.7109375" style="47" customWidth="1"/>
    <col min="21" max="21" width="1.7109375" style="47" customWidth="1"/>
    <col min="22" max="22" width="13.7109375" style="47" customWidth="1"/>
    <col min="23" max="23" width="19.28515625" style="47" bestFit="1" customWidth="1"/>
    <col min="24" max="27" width="13.7109375" style="47" customWidth="1"/>
    <col min="28" max="28" width="10.42578125" style="58" bestFit="1" customWidth="1"/>
    <col min="29" max="29" width="9.140625" style="2"/>
    <col min="30" max="31" width="9.140625" style="45"/>
    <col min="32" max="16384" width="9.140625" style="2"/>
  </cols>
  <sheetData>
    <row r="7" spans="1:33" ht="17.25">
      <c r="M7" s="48"/>
      <c r="N7" s="49"/>
      <c r="O7" s="49"/>
      <c r="P7" s="49"/>
      <c r="Q7" s="49"/>
      <c r="R7" s="49"/>
      <c r="U7" s="49"/>
    </row>
    <row r="8" spans="1:33" ht="9.75" customHeight="1">
      <c r="B8" s="4"/>
      <c r="M8" s="50"/>
      <c r="N8" s="51"/>
      <c r="O8" s="51"/>
      <c r="P8" s="51"/>
      <c r="Q8" s="51"/>
      <c r="R8" s="51"/>
      <c r="U8" s="51"/>
    </row>
    <row r="9" spans="1:33" s="7" customFormat="1" ht="12.6" customHeight="1">
      <c r="A9" s="5"/>
      <c r="B9" s="4" t="s">
        <v>17</v>
      </c>
      <c r="C9" s="52"/>
      <c r="D9" s="52"/>
      <c r="E9" s="52"/>
      <c r="F9" s="52"/>
      <c r="G9" s="52"/>
      <c r="H9" s="52"/>
      <c r="I9" s="52"/>
      <c r="J9" s="52"/>
      <c r="K9" s="53"/>
      <c r="L9" s="53"/>
      <c r="M9" s="54"/>
      <c r="N9" s="54"/>
      <c r="O9" s="54"/>
      <c r="P9" s="54"/>
      <c r="Q9" s="54"/>
      <c r="R9" s="8"/>
      <c r="S9" s="54"/>
      <c r="T9" s="54"/>
      <c r="U9" s="51"/>
      <c r="V9" s="67" t="s">
        <v>18</v>
      </c>
      <c r="W9" s="68" t="s">
        <v>19</v>
      </c>
      <c r="X9" s="9" t="s">
        <v>20</v>
      </c>
      <c r="Y9" s="9" t="s">
        <v>20</v>
      </c>
      <c r="Z9" s="9" t="s">
        <v>20</v>
      </c>
      <c r="AA9" s="9" t="s">
        <v>20</v>
      </c>
      <c r="AB9" s="59"/>
      <c r="AD9" s="44"/>
      <c r="AE9" s="44"/>
    </row>
    <row r="10" spans="1:33" s="12" customFormat="1" ht="12.75">
      <c r="A10" s="5"/>
      <c r="B10" s="10"/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11" t="s">
        <v>21</v>
      </c>
      <c r="I10" s="11" t="s">
        <v>21</v>
      </c>
      <c r="J10" s="11" t="s">
        <v>21</v>
      </c>
      <c r="K10" s="11" t="s">
        <v>21</v>
      </c>
      <c r="L10" s="11" t="s">
        <v>21</v>
      </c>
      <c r="M10" s="11" t="s">
        <v>21</v>
      </c>
      <c r="N10" s="11" t="s">
        <v>21</v>
      </c>
      <c r="O10" s="11" t="s">
        <v>21</v>
      </c>
      <c r="P10" s="11" t="s">
        <v>21</v>
      </c>
      <c r="Q10" s="11" t="s">
        <v>21</v>
      </c>
      <c r="R10" s="35"/>
      <c r="S10" s="11" t="s">
        <v>21</v>
      </c>
      <c r="T10" s="11" t="s">
        <v>21</v>
      </c>
      <c r="U10" s="35"/>
      <c r="V10" s="11" t="s">
        <v>21</v>
      </c>
      <c r="W10" s="11" t="s">
        <v>21</v>
      </c>
      <c r="X10" s="11" t="s">
        <v>21</v>
      </c>
      <c r="Y10" s="11" t="s">
        <v>21</v>
      </c>
      <c r="Z10" s="11" t="s">
        <v>21</v>
      </c>
      <c r="AA10" s="11" t="s">
        <v>21</v>
      </c>
      <c r="AB10" s="60"/>
      <c r="AD10" s="44"/>
      <c r="AE10" s="44"/>
    </row>
    <row r="11" spans="1:33" s="15" customFormat="1" ht="12.75">
      <c r="A11" s="5"/>
      <c r="B11" s="13"/>
      <c r="C11" s="14">
        <v>37072</v>
      </c>
      <c r="D11" s="14">
        <v>37437</v>
      </c>
      <c r="E11" s="14">
        <v>37774</v>
      </c>
      <c r="F11" s="14">
        <v>38139</v>
      </c>
      <c r="G11" s="14">
        <v>38504</v>
      </c>
      <c r="H11" s="14">
        <v>38869</v>
      </c>
      <c r="I11" s="14">
        <v>39234</v>
      </c>
      <c r="J11" s="14">
        <v>39600</v>
      </c>
      <c r="K11" s="14">
        <v>39965</v>
      </c>
      <c r="L11" s="14">
        <v>40359</v>
      </c>
      <c r="M11" s="14">
        <v>40724</v>
      </c>
      <c r="N11" s="14">
        <v>41090</v>
      </c>
      <c r="O11" s="14">
        <v>41455</v>
      </c>
      <c r="P11" s="14">
        <v>41820</v>
      </c>
      <c r="Q11" s="14">
        <v>42185</v>
      </c>
      <c r="R11" s="36"/>
      <c r="S11" s="14">
        <v>42551</v>
      </c>
      <c r="T11" s="14">
        <v>42916</v>
      </c>
      <c r="U11" s="36"/>
      <c r="V11" s="14">
        <v>43281</v>
      </c>
      <c r="W11" s="14">
        <v>43646</v>
      </c>
      <c r="X11" s="14">
        <v>44012</v>
      </c>
      <c r="Y11" s="14">
        <v>44377</v>
      </c>
      <c r="Z11" s="14">
        <v>44742</v>
      </c>
      <c r="AA11" s="14">
        <v>45107</v>
      </c>
      <c r="AB11" s="60"/>
      <c r="AD11" s="44"/>
      <c r="AE11" s="44"/>
    </row>
    <row r="12" spans="1:33" s="18" customFormat="1" ht="3" customHeight="1">
      <c r="A12" s="5"/>
      <c r="B12" s="16"/>
      <c r="C12" s="14"/>
      <c r="D12" s="14"/>
      <c r="E12" s="14"/>
      <c r="F12" s="14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7"/>
      <c r="S12" s="17"/>
      <c r="T12" s="17"/>
      <c r="U12" s="37"/>
      <c r="V12" s="17"/>
      <c r="W12" s="17"/>
      <c r="X12" s="17"/>
      <c r="Y12" s="17"/>
      <c r="Z12" s="17"/>
      <c r="AA12" s="17"/>
      <c r="AB12" s="59"/>
      <c r="AD12" s="44"/>
      <c r="AE12" s="44"/>
    </row>
    <row r="13" spans="1:33" s="21" customFormat="1" ht="12.75">
      <c r="A13" s="5">
        <v>1</v>
      </c>
      <c r="B13" s="19" t="s">
        <v>22</v>
      </c>
      <c r="C13" s="20">
        <v>7989000</v>
      </c>
      <c r="D13" s="20">
        <f t="shared" ref="D13:J13" si="0">C43</f>
        <v>7795000</v>
      </c>
      <c r="E13" s="20">
        <f t="shared" si="0"/>
        <v>7281000</v>
      </c>
      <c r="F13" s="20">
        <f t="shared" si="0"/>
        <v>5137000</v>
      </c>
      <c r="G13" s="20">
        <f t="shared" si="0"/>
        <v>16363000</v>
      </c>
      <c r="H13" s="20">
        <f t="shared" si="0"/>
        <v>11704000</v>
      </c>
      <c r="I13" s="20">
        <f t="shared" si="0"/>
        <v>7924000</v>
      </c>
      <c r="J13" s="20">
        <f t="shared" si="0"/>
        <v>6202000</v>
      </c>
      <c r="K13" s="20">
        <f>J43</f>
        <v>3307000</v>
      </c>
      <c r="L13" s="20">
        <f>K43</f>
        <v>8601000</v>
      </c>
      <c r="M13" s="20">
        <f>L43</f>
        <v>7576000</v>
      </c>
      <c r="N13" s="20">
        <f>M43</f>
        <v>7350387</v>
      </c>
      <c r="O13" s="20">
        <v>7634658.0300000003</v>
      </c>
      <c r="P13" s="20">
        <f t="shared" ref="P13:AA13" si="1">O43</f>
        <v>7912299.4299999997</v>
      </c>
      <c r="Q13" s="20">
        <f t="shared" si="1"/>
        <v>8334084.0500000026</v>
      </c>
      <c r="R13" s="38"/>
      <c r="S13" s="20">
        <f>Q43</f>
        <v>9335508.0300000031</v>
      </c>
      <c r="T13" s="20">
        <f>S43</f>
        <v>8139283.6499999976</v>
      </c>
      <c r="U13" s="38"/>
      <c r="V13" s="20">
        <f>T43</f>
        <v>11564655.299999999</v>
      </c>
      <c r="W13" s="20">
        <f t="shared" si="1"/>
        <v>13589463.550000006</v>
      </c>
      <c r="X13" s="20">
        <f t="shared" si="1"/>
        <v>13960289.84500001</v>
      </c>
      <c r="Y13" s="20">
        <f t="shared" si="1"/>
        <v>13510281.756750014</v>
      </c>
      <c r="Z13" s="20">
        <f t="shared" si="1"/>
        <v>13089709.394145012</v>
      </c>
      <c r="AA13" s="20">
        <f t="shared" si="1"/>
        <v>12439883.528679676</v>
      </c>
      <c r="AB13" s="59"/>
      <c r="AD13" s="44"/>
      <c r="AE13" s="44"/>
    </row>
    <row r="14" spans="1:33" s="18" customFormat="1" ht="6" customHeight="1">
      <c r="A14" s="5"/>
      <c r="B14" s="16"/>
      <c r="C14" s="22"/>
      <c r="D14" s="22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9"/>
      <c r="S14" s="23"/>
      <c r="T14" s="23"/>
      <c r="U14" s="39"/>
      <c r="V14" s="23"/>
      <c r="W14" s="23"/>
      <c r="X14" s="23"/>
      <c r="Y14" s="23"/>
      <c r="Z14" s="23"/>
      <c r="AA14" s="23"/>
      <c r="AB14" s="59"/>
      <c r="AD14" s="44"/>
      <c r="AE14" s="44"/>
    </row>
    <row r="15" spans="1:33" s="7" customFormat="1" ht="12.75">
      <c r="A15" s="5">
        <v>2</v>
      </c>
      <c r="B15" s="6" t="s">
        <v>23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40"/>
      <c r="S15" s="25"/>
      <c r="T15" s="25"/>
      <c r="U15" s="40"/>
      <c r="V15" s="25"/>
      <c r="W15" s="25"/>
      <c r="X15" s="25"/>
      <c r="Y15" s="25"/>
      <c r="Z15" s="25"/>
      <c r="AA15" s="25"/>
      <c r="AB15" s="59"/>
      <c r="AD15" s="64" t="s">
        <v>24</v>
      </c>
      <c r="AE15" s="64" t="s">
        <v>25</v>
      </c>
      <c r="AF15" s="64" t="s">
        <v>26</v>
      </c>
      <c r="AG15" s="64" t="s">
        <v>27</v>
      </c>
    </row>
    <row r="16" spans="1:33" s="24" customFormat="1" ht="15.6" customHeight="1">
      <c r="A16" s="5">
        <v>3</v>
      </c>
      <c r="B16" s="26" t="s">
        <v>28</v>
      </c>
      <c r="C16" s="25">
        <v>5794000</v>
      </c>
      <c r="D16" s="25">
        <v>5978000</v>
      </c>
      <c r="E16" s="25">
        <v>6232000</v>
      </c>
      <c r="F16" s="25">
        <v>6407000</v>
      </c>
      <c r="G16" s="25">
        <v>6555000</v>
      </c>
      <c r="H16" s="25">
        <v>6815000</v>
      </c>
      <c r="I16" s="25">
        <v>8500000</v>
      </c>
      <c r="J16" s="25">
        <v>7654000</v>
      </c>
      <c r="K16" s="25">
        <v>8217000</v>
      </c>
      <c r="L16" s="25">
        <v>9210000</v>
      </c>
      <c r="M16" s="25">
        <v>8898309</v>
      </c>
      <c r="N16" s="27">
        <v>9215013</v>
      </c>
      <c r="O16" s="27">
        <v>9018419.3100000005</v>
      </c>
      <c r="P16" s="25">
        <f>SUM(9604681.28-116675.29)</f>
        <v>9488005.9900000002</v>
      </c>
      <c r="Q16" s="25">
        <v>9396925.5800000001</v>
      </c>
      <c r="R16" s="40"/>
      <c r="S16" s="25">
        <v>10056749.880000001</v>
      </c>
      <c r="T16" s="25">
        <v>9863623.9800000004</v>
      </c>
      <c r="U16" s="40"/>
      <c r="V16" s="25">
        <v>9942745.3100000005</v>
      </c>
      <c r="W16" s="25">
        <v>10014319</v>
      </c>
      <c r="X16" s="25">
        <f>SUM(W16-W31)*1.025+(X31*1.025)</f>
        <v>10311987.1415</v>
      </c>
      <c r="Y16" s="25">
        <f>SUM(X16-X31)*AB16+(Y31*AB16)</f>
        <v>10575362.820037499</v>
      </c>
      <c r="Z16" s="25">
        <f>SUM(Y16-Y31)*AB16+(Z31*AB16)</f>
        <v>10907464.796788435</v>
      </c>
      <c r="AA16" s="25">
        <f>SUM(Z16-Z31)*AB16+(AA31*AB16)</f>
        <v>11204194.072958145</v>
      </c>
      <c r="AB16" s="61">
        <v>1.0249999999999999</v>
      </c>
      <c r="AD16" s="44">
        <f t="shared" ref="AD16:AD21" si="2">SUM(V16/($V$22+$V$39))</f>
        <v>0.51890928480308163</v>
      </c>
      <c r="AE16" s="44">
        <f t="shared" ref="AE16:AE21" si="3">SUM(W16/($W$22+$W$39))</f>
        <v>0.53779942189015972</v>
      </c>
      <c r="AF16" s="44">
        <f t="shared" ref="AF16:AF21" si="4">SUM(X16/($X$22+$X$39))</f>
        <v>0.55529620558968651</v>
      </c>
      <c r="AG16" s="44">
        <f t="shared" ref="AG16:AG21" si="5">SUM(Y16/($Y$22+$Y$39))</f>
        <v>0.56116021860399412</v>
      </c>
    </row>
    <row r="17" spans="1:33" s="24" customFormat="1" ht="15.6" customHeight="1">
      <c r="A17" s="5">
        <v>4</v>
      </c>
      <c r="B17" s="26" t="s">
        <v>29</v>
      </c>
      <c r="C17" s="25">
        <v>921000</v>
      </c>
      <c r="D17" s="25">
        <v>871000</v>
      </c>
      <c r="E17" s="25">
        <v>753000</v>
      </c>
      <c r="F17" s="25">
        <v>646000</v>
      </c>
      <c r="G17" s="25">
        <v>785000</v>
      </c>
      <c r="H17" s="25">
        <v>929000</v>
      </c>
      <c r="I17" s="25">
        <v>1025000</v>
      </c>
      <c r="J17" s="25">
        <v>946000</v>
      </c>
      <c r="K17" s="25">
        <v>749000</v>
      </c>
      <c r="L17" s="25">
        <v>826000</v>
      </c>
      <c r="M17" s="25">
        <v>773313</v>
      </c>
      <c r="N17" s="27">
        <v>855251</v>
      </c>
      <c r="O17" s="27">
        <f>SUM(931002-200000-100000)</f>
        <v>631002</v>
      </c>
      <c r="P17" s="25">
        <f>SUM(509529.12+116675.29+14158.57)</f>
        <v>640362.98</v>
      </c>
      <c r="Q17" s="25">
        <v>599134</v>
      </c>
      <c r="R17" s="40"/>
      <c r="S17" s="25">
        <v>544316.53</v>
      </c>
      <c r="T17" s="25">
        <v>568577.67000000004</v>
      </c>
      <c r="U17" s="40"/>
      <c r="V17" s="25">
        <v>590892.73</v>
      </c>
      <c r="W17" s="25">
        <f>SUM(10598155-10014319)</f>
        <v>583836</v>
      </c>
      <c r="X17" s="25">
        <f>+W17*AB17</f>
        <v>595512.72</v>
      </c>
      <c r="Y17" s="25">
        <f>+X17*AB17</f>
        <v>607422.97439999995</v>
      </c>
      <c r="Z17" s="25">
        <f>+Y17*AB17</f>
        <v>619571.43388799997</v>
      </c>
      <c r="AA17" s="25">
        <f>SUM(Z17-Z32)*AB17+(AA32*AB17)</f>
        <v>631962.86256576004</v>
      </c>
      <c r="AB17" s="61">
        <v>1.02</v>
      </c>
      <c r="AD17" s="44">
        <f t="shared" si="2"/>
        <v>3.0838537482324426E-2</v>
      </c>
      <c r="AE17" s="44">
        <f t="shared" si="3"/>
        <v>3.1353770863367075E-2</v>
      </c>
      <c r="AF17" s="44">
        <f t="shared" si="4"/>
        <v>3.2068111534542823E-2</v>
      </c>
      <c r="AG17" s="44">
        <f t="shared" si="5"/>
        <v>3.2231670430592718E-2</v>
      </c>
    </row>
    <row r="18" spans="1:33" s="24" customFormat="1" ht="15.6" customHeight="1">
      <c r="A18" s="5">
        <v>5</v>
      </c>
      <c r="B18" s="26" t="s">
        <v>30</v>
      </c>
      <c r="C18" s="25">
        <v>1595000</v>
      </c>
      <c r="D18" s="25">
        <v>1697000</v>
      </c>
      <c r="E18" s="25">
        <v>1711000</v>
      </c>
      <c r="F18" s="25">
        <v>2026000</v>
      </c>
      <c r="G18" s="25">
        <v>2508000</v>
      </c>
      <c r="H18" s="25">
        <v>2788000</v>
      </c>
      <c r="I18" s="25">
        <v>3345000</v>
      </c>
      <c r="J18" s="25">
        <v>3470000</v>
      </c>
      <c r="K18" s="25">
        <v>4019000</v>
      </c>
      <c r="L18" s="25">
        <v>3863000</v>
      </c>
      <c r="M18" s="25">
        <v>3774613</v>
      </c>
      <c r="N18" s="27">
        <v>3425646</v>
      </c>
      <c r="O18" s="27">
        <v>3336443.93</v>
      </c>
      <c r="P18" s="25">
        <v>3292376.03</v>
      </c>
      <c r="Q18" s="25">
        <f>SUM(3607389.19+80212)</f>
        <v>3687601.19</v>
      </c>
      <c r="R18" s="40"/>
      <c r="S18" s="25">
        <v>4152330.45</v>
      </c>
      <c r="T18" s="25">
        <v>4599383.51</v>
      </c>
      <c r="U18" s="40"/>
      <c r="V18" s="25">
        <f>SUM(5123615.99+556984.15+24435.51)</f>
        <v>5705035.6500000004</v>
      </c>
      <c r="W18" s="25">
        <f>SUM(5123615.99+556984.15+24874)+360016.98</f>
        <v>6065491.120000001</v>
      </c>
      <c r="X18" s="25">
        <f>SUM(W18*$AB$18)-360016.98</f>
        <v>5705474.1400000006</v>
      </c>
      <c r="Y18" s="25">
        <f>SUM(X18*$AB$18)</f>
        <v>5705474.1400000006</v>
      </c>
      <c r="Z18" s="25">
        <f>SUM(Y18*$AB$18)</f>
        <v>5705474.1400000006</v>
      </c>
      <c r="AA18" s="25">
        <f>SUM(Z18*$AB$18)</f>
        <v>5705474.1400000006</v>
      </c>
      <c r="AB18" s="61">
        <v>1</v>
      </c>
      <c r="AD18" s="44">
        <f t="shared" si="2"/>
        <v>0.29774432278177143</v>
      </c>
      <c r="AE18" s="44">
        <f t="shared" si="3"/>
        <v>0.32573534134631599</v>
      </c>
      <c r="AF18" s="44">
        <f t="shared" si="4"/>
        <v>0.30723740221530416</v>
      </c>
      <c r="AG18" s="44">
        <f t="shared" si="5"/>
        <v>0.30274943471211163</v>
      </c>
    </row>
    <row r="19" spans="1:33" s="24" customFormat="1" ht="15.6" customHeight="1">
      <c r="A19" s="5">
        <v>6</v>
      </c>
      <c r="B19" s="26" t="s">
        <v>31</v>
      </c>
      <c r="C19" s="25">
        <v>1838000</v>
      </c>
      <c r="D19" s="25">
        <v>1354000</v>
      </c>
      <c r="E19" s="25">
        <v>1627000</v>
      </c>
      <c r="F19" s="25">
        <v>2052000</v>
      </c>
      <c r="G19" s="25">
        <v>1801000</v>
      </c>
      <c r="H19" s="25">
        <v>1771000</v>
      </c>
      <c r="I19" s="25">
        <v>2321000</v>
      </c>
      <c r="J19" s="25">
        <v>1766000</v>
      </c>
      <c r="K19" s="25">
        <v>1948000</v>
      </c>
      <c r="L19" s="25">
        <v>1834000</v>
      </c>
      <c r="M19" s="25">
        <v>2294113</v>
      </c>
      <c r="N19" s="27">
        <v>1867696</v>
      </c>
      <c r="O19" s="27">
        <f>SUM(5572254.07-O18)</f>
        <v>2235810.14</v>
      </c>
      <c r="P19" s="25">
        <v>2220209.29</v>
      </c>
      <c r="Q19" s="25">
        <f>SUM(1485336.78-80212)</f>
        <v>1405124.78</v>
      </c>
      <c r="R19" s="40"/>
      <c r="S19" s="25">
        <v>1168911.3899999999</v>
      </c>
      <c r="T19" s="25">
        <v>1060500.6000000001</v>
      </c>
      <c r="U19" s="40"/>
      <c r="V19" s="25">
        <v>1577389.5</v>
      </c>
      <c r="W19" s="25">
        <v>1004006</v>
      </c>
      <c r="X19" s="25">
        <f>SUM(W19*$AB$19)</f>
        <v>1004006</v>
      </c>
      <c r="Y19" s="25">
        <f>SUM(X19*$AB$19)</f>
        <v>1004006</v>
      </c>
      <c r="Z19" s="25">
        <f>SUM(Y19*$AB$19)</f>
        <v>1004006</v>
      </c>
      <c r="AA19" s="25">
        <f>SUM(Z19*$AB$19)</f>
        <v>1004006</v>
      </c>
      <c r="AB19" s="61">
        <v>1</v>
      </c>
      <c r="AD19" s="44">
        <f t="shared" si="2"/>
        <v>8.2323546644371456E-2</v>
      </c>
      <c r="AE19" s="44">
        <f t="shared" si="3"/>
        <v>5.3918179196633512E-2</v>
      </c>
      <c r="AF19" s="44">
        <f t="shared" si="4"/>
        <v>5.4065304246314339E-2</v>
      </c>
      <c r="AG19" s="44">
        <f t="shared" si="5"/>
        <v>5.3275545815999151E-2</v>
      </c>
    </row>
    <row r="20" spans="1:33" s="24" customFormat="1" ht="15.6" customHeight="1">
      <c r="A20" s="5">
        <v>7</v>
      </c>
      <c r="B20" s="26" t="s">
        <v>32</v>
      </c>
      <c r="C20" s="25">
        <v>650000</v>
      </c>
      <c r="D20" s="25">
        <v>532000</v>
      </c>
      <c r="E20" s="25">
        <v>543000</v>
      </c>
      <c r="F20" s="25">
        <v>513000</v>
      </c>
      <c r="G20" s="25">
        <v>575000</v>
      </c>
      <c r="H20" s="25">
        <v>463000</v>
      </c>
      <c r="I20" s="25">
        <v>725000</v>
      </c>
      <c r="J20" s="25">
        <v>557000</v>
      </c>
      <c r="K20" s="25">
        <v>638000</v>
      </c>
      <c r="L20" s="25">
        <v>888000</v>
      </c>
      <c r="M20" s="25">
        <v>1508186</v>
      </c>
      <c r="N20" s="27">
        <v>964380</v>
      </c>
      <c r="O20" s="27">
        <v>890972.82</v>
      </c>
      <c r="P20" s="25">
        <v>872664.53</v>
      </c>
      <c r="Q20" s="25">
        <v>964588.89</v>
      </c>
      <c r="R20" s="40"/>
      <c r="S20" s="25">
        <v>1026466.58</v>
      </c>
      <c r="T20" s="25">
        <v>1119230.49</v>
      </c>
      <c r="U20" s="40"/>
      <c r="V20" s="25">
        <v>1016697.83</v>
      </c>
      <c r="W20" s="25">
        <v>953266</v>
      </c>
      <c r="X20" s="25">
        <f>SUM(W20*$AB$20)</f>
        <v>953266</v>
      </c>
      <c r="Y20" s="25">
        <f>SUM(X20*$AB$20)</f>
        <v>953266</v>
      </c>
      <c r="Z20" s="25">
        <f>SUM(Y20*$AB$20)</f>
        <v>953266</v>
      </c>
      <c r="AA20" s="25">
        <f>SUM(Z20*$AB$20)</f>
        <v>953266</v>
      </c>
      <c r="AB20" s="61">
        <v>1</v>
      </c>
      <c r="AD20" s="44">
        <f t="shared" si="2"/>
        <v>5.306119460744238E-2</v>
      </c>
      <c r="AE20" s="44">
        <f t="shared" si="3"/>
        <v>5.1193286703523723E-2</v>
      </c>
      <c r="AF20" s="44">
        <f t="shared" si="4"/>
        <v>5.1332976414151993E-2</v>
      </c>
      <c r="AG20" s="44">
        <f t="shared" si="5"/>
        <v>5.0583130437302413E-2</v>
      </c>
    </row>
    <row r="21" spans="1:33" s="24" customFormat="1" ht="15.6" customHeight="1">
      <c r="A21" s="5">
        <v>8</v>
      </c>
      <c r="B21" s="26" t="s">
        <v>33</v>
      </c>
      <c r="C21" s="25"/>
      <c r="D21" s="25"/>
      <c r="E21" s="25"/>
      <c r="F21" s="25"/>
      <c r="G21" s="25"/>
      <c r="H21" s="25"/>
      <c r="I21" s="25"/>
      <c r="J21" s="25"/>
      <c r="K21" s="25">
        <v>0</v>
      </c>
      <c r="L21" s="25">
        <v>0</v>
      </c>
      <c r="M21" s="25">
        <v>0</v>
      </c>
      <c r="N21" s="27">
        <v>0</v>
      </c>
      <c r="O21" s="27">
        <f>SUM(3795000+433865.85)</f>
        <v>4228865.8499999996</v>
      </c>
      <c r="P21" s="25">
        <v>0</v>
      </c>
      <c r="Q21" s="25">
        <v>1500468</v>
      </c>
      <c r="R21" s="40"/>
      <c r="S21" s="25">
        <v>0</v>
      </c>
      <c r="T21" s="25">
        <f>SUM(6390000-340181.53)</f>
        <v>6049818.4699999997</v>
      </c>
      <c r="U21" s="40"/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61"/>
      <c r="AD21" s="44">
        <f t="shared" si="2"/>
        <v>0</v>
      </c>
      <c r="AE21" s="44">
        <f t="shared" si="3"/>
        <v>0</v>
      </c>
      <c r="AF21" s="44">
        <f t="shared" si="4"/>
        <v>0</v>
      </c>
      <c r="AG21" s="44">
        <f t="shared" si="5"/>
        <v>0</v>
      </c>
    </row>
    <row r="22" spans="1:33" s="28" customFormat="1" ht="16.7" customHeight="1" thickBot="1">
      <c r="A22" s="5">
        <v>9</v>
      </c>
      <c r="B22" s="28" t="s">
        <v>34</v>
      </c>
      <c r="C22" s="29">
        <f t="shared" ref="C22:J22" si="6">SUM(C16:C20)</f>
        <v>10798000</v>
      </c>
      <c r="D22" s="29">
        <f t="shared" si="6"/>
        <v>10432000</v>
      </c>
      <c r="E22" s="29">
        <f t="shared" si="6"/>
        <v>10866000</v>
      </c>
      <c r="F22" s="29">
        <f t="shared" si="6"/>
        <v>11644000</v>
      </c>
      <c r="G22" s="29">
        <f t="shared" si="6"/>
        <v>12224000</v>
      </c>
      <c r="H22" s="29">
        <f t="shared" si="6"/>
        <v>12766000</v>
      </c>
      <c r="I22" s="29">
        <f t="shared" si="6"/>
        <v>15916000</v>
      </c>
      <c r="J22" s="29">
        <f t="shared" si="6"/>
        <v>14393000</v>
      </c>
      <c r="K22" s="29">
        <f>SUM(K16:K21)</f>
        <v>15571000</v>
      </c>
      <c r="L22" s="29">
        <f>SUM(L16:L21)</f>
        <v>16621000</v>
      </c>
      <c r="M22" s="29">
        <f>SUM(M16:M21)</f>
        <v>17248534</v>
      </c>
      <c r="N22" s="29">
        <f>SUM(N16:N21)</f>
        <v>16327986</v>
      </c>
      <c r="O22" s="29">
        <f t="shared" ref="O22:AA22" si="7">SUM(O16:O21)</f>
        <v>20341514.050000001</v>
      </c>
      <c r="P22" s="29">
        <f t="shared" si="7"/>
        <v>16513618.819999998</v>
      </c>
      <c r="Q22" s="29">
        <f t="shared" si="7"/>
        <v>17553842.439999998</v>
      </c>
      <c r="R22" s="41"/>
      <c r="S22" s="29">
        <f t="shared" si="7"/>
        <v>16948774.829999998</v>
      </c>
      <c r="T22" s="29">
        <f t="shared" si="7"/>
        <v>23261134.719999999</v>
      </c>
      <c r="U22" s="41"/>
      <c r="V22" s="29">
        <f t="shared" si="7"/>
        <v>18832761.02</v>
      </c>
      <c r="W22" s="29">
        <f t="shared" si="7"/>
        <v>18620918.120000001</v>
      </c>
      <c r="X22" s="29">
        <f t="shared" si="7"/>
        <v>18570246.001500003</v>
      </c>
      <c r="Y22" s="29">
        <f t="shared" si="7"/>
        <v>18845531.934437498</v>
      </c>
      <c r="Z22" s="29">
        <f t="shared" si="7"/>
        <v>19189782.370676436</v>
      </c>
      <c r="AA22" s="29">
        <f t="shared" si="7"/>
        <v>19498903.075523905</v>
      </c>
      <c r="AB22" s="62"/>
      <c r="AD22" s="44">
        <f>SUM(V39/($V$22+$V$39))</f>
        <v>1.7123113681008793E-2</v>
      </c>
      <c r="AE22" s="44">
        <f>SUM(W39/($W$22+$W$39))</f>
        <v>0</v>
      </c>
      <c r="AF22" s="44">
        <f>SUM(X39/($X$22+$X$39))</f>
        <v>0</v>
      </c>
      <c r="AG22" s="44">
        <f>SUM(Y39/($Y$22+$Y$39))</f>
        <v>0</v>
      </c>
    </row>
    <row r="23" spans="1:33" s="24" customFormat="1" ht="6.75" customHeight="1" thickTop="1">
      <c r="A23" s="5"/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40"/>
      <c r="S23" s="25"/>
      <c r="T23" s="25"/>
      <c r="U23" s="40"/>
      <c r="V23" s="25"/>
      <c r="W23" s="25"/>
      <c r="X23" s="25"/>
      <c r="Y23" s="25"/>
      <c r="Z23" s="25"/>
      <c r="AA23" s="25"/>
      <c r="AB23" s="61"/>
      <c r="AD23" s="44"/>
      <c r="AE23" s="44"/>
      <c r="AF23" s="44"/>
      <c r="AG23" s="44"/>
    </row>
    <row r="24" spans="1:33" s="24" customFormat="1" ht="15" customHeight="1">
      <c r="A24" s="5">
        <v>10</v>
      </c>
      <c r="B24" s="28" t="s">
        <v>35</v>
      </c>
      <c r="C24" s="44">
        <f t="shared" ref="C24" si="8">SUM(C25+C26)/(C34-C31-C32-C33)</f>
        <v>0.76787492531368251</v>
      </c>
      <c r="D24" s="44">
        <f t="shared" ref="D24" si="9">SUM(D25+D26)/(D34-D31-D32-D33)</f>
        <v>0.80340887081154366</v>
      </c>
      <c r="E24" s="44">
        <f t="shared" ref="E24:S24" si="10">SUM(E25+E26)/(E34-E31-E32-E33)</f>
        <v>0.81176578560939794</v>
      </c>
      <c r="F24" s="44">
        <f t="shared" si="10"/>
        <v>0.82318591670244745</v>
      </c>
      <c r="G24" s="44">
        <f t="shared" si="10"/>
        <v>0.80702317004730217</v>
      </c>
      <c r="H24" s="44">
        <f t="shared" si="10"/>
        <v>0.76568038775953118</v>
      </c>
      <c r="I24" s="44">
        <f t="shared" si="10"/>
        <v>0.77673559297946426</v>
      </c>
      <c r="J24" s="44">
        <f t="shared" si="10"/>
        <v>0.77143248425089017</v>
      </c>
      <c r="K24" s="44">
        <f t="shared" si="10"/>
        <v>0.78928144507902775</v>
      </c>
      <c r="L24" s="44">
        <f t="shared" si="10"/>
        <v>0.79107215654300855</v>
      </c>
      <c r="M24" s="44">
        <f t="shared" si="10"/>
        <v>0.78953843052177963</v>
      </c>
      <c r="N24" s="44">
        <f t="shared" si="10"/>
        <v>0.78421632122537344</v>
      </c>
      <c r="O24" s="44">
        <f t="shared" si="10"/>
        <v>0.75856500333012244</v>
      </c>
      <c r="P24" s="44">
        <f t="shared" si="10"/>
        <v>0.77022780548325509</v>
      </c>
      <c r="Q24" s="44">
        <f t="shared" si="10"/>
        <v>0.73185648949982662</v>
      </c>
      <c r="R24" s="44" t="e">
        <f t="shared" si="10"/>
        <v>#DIV/0!</v>
      </c>
      <c r="S24" s="44">
        <f t="shared" si="10"/>
        <v>0.70575106704808765</v>
      </c>
      <c r="T24" s="44">
        <f>SUM(T25+T26)/(T34-T31-T32-T33)</f>
        <v>0.70743473051644434</v>
      </c>
      <c r="U24" s="40"/>
      <c r="V24" s="44">
        <f t="shared" ref="V24:Z24" si="11">SUM(V25+V26)/(V34-V31-V32-V33)</f>
        <v>0.78825519327922966</v>
      </c>
      <c r="W24" s="44">
        <f t="shared" si="11"/>
        <v>0.76582612624852708</v>
      </c>
      <c r="X24" s="44">
        <f t="shared" si="11"/>
        <v>0.75642849937615053</v>
      </c>
      <c r="Y24" s="44">
        <f t="shared" si="11"/>
        <v>0.77053010672116029</v>
      </c>
      <c r="Z24" s="44">
        <f t="shared" si="11"/>
        <v>0.77288813169053916</v>
      </c>
      <c r="AA24" s="44">
        <f t="shared" ref="AA24" si="12">SUM(AA25+AA26)/(AA34-AA31-AA32-AA33)</f>
        <v>0.77524940025546718</v>
      </c>
      <c r="AB24" s="61"/>
      <c r="AD24" s="64" t="s">
        <v>24</v>
      </c>
      <c r="AE24" s="64" t="s">
        <v>25</v>
      </c>
      <c r="AF24" s="64" t="s">
        <v>26</v>
      </c>
      <c r="AG24" s="64" t="s">
        <v>27</v>
      </c>
    </row>
    <row r="25" spans="1:33" s="24" customFormat="1" ht="15.6" customHeight="1">
      <c r="A25" s="5">
        <v>11</v>
      </c>
      <c r="B25" s="24" t="s">
        <v>36</v>
      </c>
      <c r="C25" s="25">
        <v>6482000</v>
      </c>
      <c r="D25" s="25">
        <v>6949000</v>
      </c>
      <c r="E25" s="25">
        <v>7343000</v>
      </c>
      <c r="F25" s="25">
        <v>7851000</v>
      </c>
      <c r="G25" s="25">
        <v>8006000</v>
      </c>
      <c r="H25" s="25">
        <v>8343000</v>
      </c>
      <c r="I25" s="25">
        <v>8441000</v>
      </c>
      <c r="J25" s="25">
        <v>8750000</v>
      </c>
      <c r="K25" s="25">
        <v>9247000</v>
      </c>
      <c r="L25" s="25">
        <v>9018000</v>
      </c>
      <c r="M25" s="25">
        <v>9231681</v>
      </c>
      <c r="N25" s="25">
        <v>8092162</v>
      </c>
      <c r="O25" s="25">
        <v>7994628.2999999998</v>
      </c>
      <c r="P25" s="25">
        <v>8154947.2699999996</v>
      </c>
      <c r="Q25" s="25">
        <v>8217043.0599999996</v>
      </c>
      <c r="R25" s="40"/>
      <c r="S25" s="25">
        <v>8399565.0199999996</v>
      </c>
      <c r="T25" s="25">
        <v>8056718.7000000002</v>
      </c>
      <c r="U25" s="40"/>
      <c r="V25" s="25">
        <v>8461442.3399999999</v>
      </c>
      <c r="W25" s="25">
        <f>SUM(8761841-547846)*1.035+547846</f>
        <v>9049330.8249999993</v>
      </c>
      <c r="X25" s="25">
        <f>SUM(W25-547846)*$AB$25+547846</f>
        <v>9304375.3697499987</v>
      </c>
      <c r="Y25" s="25">
        <f t="shared" ref="Y25:AA25" si="13">SUM(X25-547846)*$AB$25+547846</f>
        <v>9567071.2508424986</v>
      </c>
      <c r="Z25" s="25">
        <f t="shared" si="13"/>
        <v>9837648.0083677731</v>
      </c>
      <c r="AA25" s="25">
        <f t="shared" si="13"/>
        <v>10116342.068618806</v>
      </c>
      <c r="AB25" s="61">
        <v>1.03</v>
      </c>
      <c r="AC25" s="43"/>
      <c r="AD25" s="44">
        <f t="shared" ref="AD25:AD33" si="14">SUM(V25/($V$34))</f>
        <v>0.49378031616028112</v>
      </c>
      <c r="AE25" s="44">
        <f t="shared" ref="AE25:AE33" si="15">SUM(W25/($W$34))</f>
        <v>0.49585124895666105</v>
      </c>
      <c r="AF25" s="44">
        <f t="shared" ref="AF25:AF33" si="16">SUM(X25/($X$34))</f>
        <v>0.48918249597749169</v>
      </c>
      <c r="AG25" s="44">
        <f t="shared" ref="AG25:AG33" si="17">SUM(Y25/($Y$34))</f>
        <v>0.49657528597055917</v>
      </c>
    </row>
    <row r="26" spans="1:33" s="24" customFormat="1" ht="15.6" customHeight="1">
      <c r="A26" s="5">
        <v>12</v>
      </c>
      <c r="B26" s="24" t="s">
        <v>37</v>
      </c>
      <c r="C26" s="25">
        <v>1229000</v>
      </c>
      <c r="D26" s="25">
        <v>1347000</v>
      </c>
      <c r="E26" s="25">
        <v>1502000</v>
      </c>
      <c r="F26" s="25">
        <v>1735000</v>
      </c>
      <c r="G26" s="25">
        <v>2060000</v>
      </c>
      <c r="H26" s="25">
        <v>2241000</v>
      </c>
      <c r="I26" s="25">
        <v>2490000</v>
      </c>
      <c r="J26" s="25">
        <v>2516000</v>
      </c>
      <c r="K26" s="25">
        <v>2638000</v>
      </c>
      <c r="L26" s="25">
        <v>2625000</v>
      </c>
      <c r="M26" s="25">
        <v>2767548</v>
      </c>
      <c r="N26" s="25">
        <v>2821724</v>
      </c>
      <c r="O26" s="25">
        <v>2464823.69</v>
      </c>
      <c r="P26" s="25">
        <v>2548996.11</v>
      </c>
      <c r="Q26" s="25">
        <v>2493811.04</v>
      </c>
      <c r="R26" s="40"/>
      <c r="S26" s="25">
        <v>2612400.29</v>
      </c>
      <c r="T26" s="25">
        <v>2620657.4700000002</v>
      </c>
      <c r="U26" s="40"/>
      <c r="V26" s="25">
        <v>2671426.88</v>
      </c>
      <c r="W26" s="25">
        <v>2915758</v>
      </c>
      <c r="X26" s="25">
        <f>SUM(W26*AB26)</f>
        <v>3061545.9</v>
      </c>
      <c r="Y26" s="25">
        <f>SUM(X26*AB26)</f>
        <v>3214623.1949999998</v>
      </c>
      <c r="Z26" s="25">
        <f t="shared" ref="Z26:Z28" si="18">SUM(Y26*AB26)</f>
        <v>3375354.3547499999</v>
      </c>
      <c r="AA26" s="25">
        <f>SUM(Z26*AB26)</f>
        <v>3544122.0724875</v>
      </c>
      <c r="AB26" s="61">
        <v>1.05</v>
      </c>
      <c r="AD26" s="44">
        <f t="shared" si="14"/>
        <v>0.15589517205236589</v>
      </c>
      <c r="AE26" s="44">
        <f t="shared" si="15"/>
        <v>0.15976675777629959</v>
      </c>
      <c r="AF26" s="44">
        <f t="shared" si="16"/>
        <v>0.16096240804952572</v>
      </c>
      <c r="AG26" s="44">
        <f t="shared" si="17"/>
        <v>0.16685382500983709</v>
      </c>
    </row>
    <row r="27" spans="1:33" s="24" customFormat="1" ht="15.6" customHeight="1">
      <c r="A27" s="5">
        <v>13</v>
      </c>
      <c r="B27" s="24" t="s">
        <v>38</v>
      </c>
      <c r="C27" s="25">
        <v>815000</v>
      </c>
      <c r="D27" s="25">
        <v>912000</v>
      </c>
      <c r="E27" s="25">
        <v>826000</v>
      </c>
      <c r="F27" s="25">
        <v>864000</v>
      </c>
      <c r="G27" s="25">
        <v>888000</v>
      </c>
      <c r="H27" s="25">
        <v>1412000</v>
      </c>
      <c r="I27" s="25">
        <v>1191000</v>
      </c>
      <c r="J27" s="25">
        <v>1276000</v>
      </c>
      <c r="K27" s="25">
        <v>1335000</v>
      </c>
      <c r="L27" s="25">
        <v>1328000</v>
      </c>
      <c r="M27" s="25">
        <v>1524702</v>
      </c>
      <c r="N27" s="25">
        <v>1561183</v>
      </c>
      <c r="O27" s="25">
        <v>1673861.56</v>
      </c>
      <c r="P27" s="25">
        <v>1672894.38</v>
      </c>
      <c r="Q27" s="25">
        <v>1762155.51</v>
      </c>
      <c r="R27" s="40"/>
      <c r="S27" s="25">
        <v>2027032.57</v>
      </c>
      <c r="T27" s="25">
        <v>1908585.71</v>
      </c>
      <c r="U27" s="40"/>
      <c r="V27" s="25">
        <v>1681673.13</v>
      </c>
      <c r="W27" s="25">
        <v>1996350</v>
      </c>
      <c r="X27" s="25">
        <f>SUM(W27*AB27)</f>
        <v>2036277</v>
      </c>
      <c r="Y27" s="25">
        <f>SUM(X27*AB27)</f>
        <v>2077002.54</v>
      </c>
      <c r="Z27" s="25">
        <f t="shared" si="18"/>
        <v>2118542.5907999999</v>
      </c>
      <c r="AA27" s="25">
        <f>SUM(Z27*AB27)</f>
        <v>2160913.4426159998</v>
      </c>
      <c r="AB27" s="61">
        <v>1.02</v>
      </c>
      <c r="AD27" s="44">
        <f t="shared" si="14"/>
        <v>9.8136589064040047E-2</v>
      </c>
      <c r="AE27" s="44">
        <f t="shared" si="15"/>
        <v>0.10938849070695018</v>
      </c>
      <c r="AF27" s="44">
        <f t="shared" si="16"/>
        <v>0.10705834897848963</v>
      </c>
      <c r="AG27" s="44">
        <f t="shared" si="17"/>
        <v>0.10780604672210958</v>
      </c>
    </row>
    <row r="28" spans="1:33" s="24" customFormat="1" ht="15.6" customHeight="1">
      <c r="A28" s="5">
        <v>14</v>
      </c>
      <c r="B28" s="24" t="s">
        <v>39</v>
      </c>
      <c r="C28" s="25">
        <v>654000</v>
      </c>
      <c r="D28" s="25">
        <v>575000</v>
      </c>
      <c r="E28" s="25">
        <v>646000</v>
      </c>
      <c r="F28" s="25">
        <v>578000</v>
      </c>
      <c r="G28" s="25">
        <v>608000</v>
      </c>
      <c r="H28" s="25">
        <v>763000</v>
      </c>
      <c r="I28" s="25">
        <v>843000</v>
      </c>
      <c r="J28" s="25">
        <v>1000000</v>
      </c>
      <c r="K28" s="25">
        <v>807000</v>
      </c>
      <c r="L28" s="25">
        <v>738000</v>
      </c>
      <c r="M28" s="25">
        <v>646746</v>
      </c>
      <c r="N28" s="25">
        <v>687219</v>
      </c>
      <c r="O28" s="25">
        <v>725427.5</v>
      </c>
      <c r="P28" s="25">
        <v>731603.08</v>
      </c>
      <c r="Q28" s="25">
        <v>940808.78</v>
      </c>
      <c r="R28" s="40"/>
      <c r="S28" s="25">
        <v>653685.56999999995</v>
      </c>
      <c r="T28" s="25">
        <v>764042.76</v>
      </c>
      <c r="U28" s="40"/>
      <c r="V28" s="25">
        <v>694697.17</v>
      </c>
      <c r="W28" s="25">
        <v>892689</v>
      </c>
      <c r="X28" s="25">
        <f>SUM(W28*AB28)</f>
        <v>910542.78</v>
      </c>
      <c r="Y28" s="25">
        <f>SUM(X28*AB28)</f>
        <v>928753.63560000004</v>
      </c>
      <c r="Z28" s="25">
        <f t="shared" si="18"/>
        <v>947328.70831200003</v>
      </c>
      <c r="AA28" s="25">
        <f>SUM(Z28*AB28)</f>
        <v>966275.28247824009</v>
      </c>
      <c r="AB28" s="61">
        <v>1.02</v>
      </c>
      <c r="AD28" s="44">
        <f t="shared" si="14"/>
        <v>4.0540108229142953E-2</v>
      </c>
      <c r="AE28" s="44">
        <f t="shared" si="15"/>
        <v>4.8914219641193503E-2</v>
      </c>
      <c r="AF28" s="44">
        <f t="shared" si="16"/>
        <v>4.7872272142289139E-2</v>
      </c>
      <c r="AG28" s="44">
        <f t="shared" si="17"/>
        <v>4.820661309004598E-2</v>
      </c>
    </row>
    <row r="29" spans="1:33" s="24" customFormat="1" ht="15.6" customHeight="1">
      <c r="A29" s="5">
        <v>15</v>
      </c>
      <c r="B29" s="24" t="s">
        <v>40</v>
      </c>
      <c r="C29" s="25">
        <v>579000</v>
      </c>
      <c r="D29" s="25">
        <v>86000</v>
      </c>
      <c r="E29" s="25">
        <v>136000</v>
      </c>
      <c r="F29" s="25">
        <v>44000</v>
      </c>
      <c r="G29" s="25">
        <v>68000</v>
      </c>
      <c r="H29" s="25">
        <v>229000</v>
      </c>
      <c r="I29" s="25">
        <v>312000</v>
      </c>
      <c r="J29" s="25">
        <v>90000</v>
      </c>
      <c r="K29" s="25">
        <v>157000</v>
      </c>
      <c r="L29" s="25">
        <v>91000</v>
      </c>
      <c r="M29" s="25">
        <v>151886</v>
      </c>
      <c r="N29" s="25">
        <v>120459</v>
      </c>
      <c r="O29" s="25">
        <v>251565.53</v>
      </c>
      <c r="P29" s="25">
        <v>157954.93</v>
      </c>
      <c r="Q29" s="25">
        <v>412322.07</v>
      </c>
      <c r="R29" s="40"/>
      <c r="S29" s="25">
        <v>1267377.68</v>
      </c>
      <c r="T29" s="25">
        <v>1088657.19</v>
      </c>
      <c r="U29" s="40"/>
      <c r="V29" s="25">
        <v>218996.62</v>
      </c>
      <c r="W29" s="25">
        <v>219661</v>
      </c>
      <c r="X29" s="25">
        <f>SUM(W29*AB29)+250000</f>
        <v>474054.22</v>
      </c>
      <c r="Y29" s="25">
        <f>SUM(W29*1.02)*AB29</f>
        <v>228535.30439999999</v>
      </c>
      <c r="Z29" s="25">
        <f>SUM(Y29*AB29)</f>
        <v>233106.010488</v>
      </c>
      <c r="AA29" s="25">
        <f>SUM(Z29*AB29)</f>
        <v>237768.13069776</v>
      </c>
      <c r="AB29" s="61">
        <v>1.02</v>
      </c>
      <c r="AD29" s="44">
        <f t="shared" si="14"/>
        <v>1.2779880298945929E-2</v>
      </c>
      <c r="AE29" s="44">
        <f t="shared" si="15"/>
        <v>1.2036158618067666E-2</v>
      </c>
      <c r="AF29" s="44">
        <f t="shared" si="16"/>
        <v>2.4923653373036033E-2</v>
      </c>
      <c r="AG29" s="44">
        <f t="shared" si="17"/>
        <v>1.1862040237946909E-2</v>
      </c>
    </row>
    <row r="30" spans="1:33" s="24" customFormat="1" ht="15.6" customHeight="1">
      <c r="A30" s="5">
        <v>16</v>
      </c>
      <c r="B30" s="24" t="s">
        <v>41</v>
      </c>
      <c r="C30" s="25">
        <v>283000</v>
      </c>
      <c r="D30" s="25">
        <v>457000</v>
      </c>
      <c r="E30" s="25">
        <v>443000</v>
      </c>
      <c r="F30" s="25">
        <v>573000</v>
      </c>
      <c r="G30" s="25">
        <v>843000</v>
      </c>
      <c r="H30" s="25">
        <v>835000</v>
      </c>
      <c r="I30" s="25">
        <v>796000</v>
      </c>
      <c r="J30" s="25">
        <v>972000</v>
      </c>
      <c r="K30" s="25">
        <v>874000</v>
      </c>
      <c r="L30" s="25">
        <v>918000</v>
      </c>
      <c r="M30" s="25">
        <v>875214</v>
      </c>
      <c r="N30" s="25">
        <v>634186</v>
      </c>
      <c r="O30" s="25">
        <v>678165</v>
      </c>
      <c r="P30" s="25">
        <f>SUM(3021840.43-1166122.51-1225000)</f>
        <v>630717.92000000016</v>
      </c>
      <c r="Q30" s="25">
        <f>SUM(4274105.83-Q31-Q39)</f>
        <v>809043.15</v>
      </c>
      <c r="R30" s="40"/>
      <c r="S30" s="25">
        <v>643125.06999999995</v>
      </c>
      <c r="T30" s="25">
        <f>SUM(130048.26+7500.79+7466+4204.42+225+989+999.65+12692+18841+273287.26+198174.95)</f>
        <v>654428.33000000007</v>
      </c>
      <c r="U30" s="40"/>
      <c r="V30" s="25">
        <v>395188.16</v>
      </c>
      <c r="W30" s="25">
        <v>549978</v>
      </c>
      <c r="X30" s="25">
        <f>SUM(W30*AB30)</f>
        <v>560977.56000000006</v>
      </c>
      <c r="Y30" s="25">
        <f>SUM(X30*AB30)</f>
        <v>572197.11120000004</v>
      </c>
      <c r="Z30" s="25">
        <f>SUM(Y30*AB30)</f>
        <v>583641.05342400004</v>
      </c>
      <c r="AA30" s="25">
        <f>SUM(Z30*AB30)</f>
        <v>595313.87449248007</v>
      </c>
      <c r="AB30" s="61">
        <v>1.02</v>
      </c>
      <c r="AD30" s="44">
        <f t="shared" si="14"/>
        <v>2.3061805156448036E-2</v>
      </c>
      <c r="AE30" s="44">
        <f t="shared" si="15"/>
        <v>3.013562919429311E-2</v>
      </c>
      <c r="AF30" s="44">
        <f t="shared" si="16"/>
        <v>2.9493694319378753E-2</v>
      </c>
      <c r="AG30" s="44">
        <f t="shared" si="17"/>
        <v>2.969967889605149E-2</v>
      </c>
    </row>
    <row r="31" spans="1:33" s="24" customFormat="1" ht="15.6" customHeight="1">
      <c r="A31" s="5">
        <v>17</v>
      </c>
      <c r="B31" s="24" t="s">
        <v>42</v>
      </c>
      <c r="C31" s="25">
        <v>878000</v>
      </c>
      <c r="D31" s="25">
        <v>893000</v>
      </c>
      <c r="E31" s="25">
        <v>2080000</v>
      </c>
      <c r="F31" s="25">
        <v>1096000</v>
      </c>
      <c r="G31" s="25">
        <v>1719000</v>
      </c>
      <c r="H31" s="25">
        <v>1835000</v>
      </c>
      <c r="I31" s="25">
        <v>2168000</v>
      </c>
      <c r="J31" s="25">
        <v>2160000</v>
      </c>
      <c r="K31" s="25">
        <v>2170000</v>
      </c>
      <c r="L31" s="25">
        <v>2956000</v>
      </c>
      <c r="M31" s="25">
        <v>2291729</v>
      </c>
      <c r="N31" s="25">
        <v>2295200</v>
      </c>
      <c r="O31" s="25">
        <f>SUM(1171549.61+1070000)</f>
        <v>2241549.6100000003</v>
      </c>
      <c r="P31" s="25">
        <f>SUM(1166122.51+1225000)</f>
        <v>2391122.5099999998</v>
      </c>
      <c r="Q31" s="25">
        <f>SUM(1664000+1153345.06)</f>
        <v>2817345.06</v>
      </c>
      <c r="R31" s="40"/>
      <c r="S31" s="25">
        <f>SUM(1096013.76+1445000)</f>
        <v>2541013.7599999998</v>
      </c>
      <c r="T31" s="25">
        <f>SUM(1179093.12+1312557.6)</f>
        <v>2491650.7200000002</v>
      </c>
      <c r="U31" s="40"/>
      <c r="V31" s="25">
        <f>SUM(1315449.96+1369070.05)</f>
        <v>2684520.01</v>
      </c>
      <c r="W31" s="25">
        <v>2626325</v>
      </c>
      <c r="X31" s="25">
        <f>SUM(2189196.88+483284.38)</f>
        <v>2672481.2599999998</v>
      </c>
      <c r="Y31" s="25">
        <f>SUM(2223284.38+454636.88)</f>
        <v>2677921.2599999998</v>
      </c>
      <c r="Z31" s="25">
        <f>SUM(2324636.88+419350.63)</f>
        <v>2743987.51</v>
      </c>
      <c r="AA31" s="25">
        <f>SUM(2389350.63+378093.13)</f>
        <v>2767443.76</v>
      </c>
      <c r="AB31" s="59"/>
      <c r="AD31" s="44">
        <f t="shared" si="14"/>
        <v>0.15665924153498409</v>
      </c>
      <c r="AE31" s="44">
        <f t="shared" si="15"/>
        <v>0.14390749510653489</v>
      </c>
      <c r="AF31" s="44">
        <f t="shared" si="16"/>
        <v>0.140507127159789</v>
      </c>
      <c r="AG31" s="44">
        <f t="shared" si="17"/>
        <v>0.13899651007344965</v>
      </c>
    </row>
    <row r="32" spans="1:33" s="24" customFormat="1" ht="15.6" customHeight="1">
      <c r="A32" s="5">
        <v>18</v>
      </c>
      <c r="B32" s="24" t="s">
        <v>43</v>
      </c>
      <c r="C32" s="25">
        <v>72000</v>
      </c>
      <c r="D32" s="25">
        <v>74000</v>
      </c>
      <c r="E32" s="25">
        <v>34000</v>
      </c>
      <c r="F32" s="25">
        <v>48000</v>
      </c>
      <c r="G32" s="25">
        <v>37000</v>
      </c>
      <c r="H32" s="25">
        <v>264000</v>
      </c>
      <c r="I32" s="25">
        <v>39000</v>
      </c>
      <c r="J32" s="25">
        <v>59000</v>
      </c>
      <c r="K32" s="25">
        <v>49000</v>
      </c>
      <c r="L32" s="25">
        <v>172000</v>
      </c>
      <c r="M32" s="25">
        <v>184641</v>
      </c>
      <c r="N32" s="25">
        <v>31476</v>
      </c>
      <c r="O32" s="25">
        <f>SUM(7162853.07-O30-O31-O33)</f>
        <v>17602.459999999963</v>
      </c>
      <c r="P32" s="25">
        <v>0</v>
      </c>
      <c r="Q32" s="25">
        <f>SUM(88784.76+101560.08+26915.77+430457.01)</f>
        <v>647717.62</v>
      </c>
      <c r="R32" s="40"/>
      <c r="S32" s="25">
        <v>1617075.28</v>
      </c>
      <c r="T32" s="25">
        <f>+T39</f>
        <v>1207759.1500000001</v>
      </c>
      <c r="U32" s="40"/>
      <c r="V32" s="25">
        <f>+V39</f>
        <v>328093.49</v>
      </c>
      <c r="W32" s="25">
        <f>SUM(W39)</f>
        <v>0</v>
      </c>
      <c r="X32" s="25">
        <f>SUM(X39)</f>
        <v>0</v>
      </c>
      <c r="Y32" s="25">
        <f>SUM(Y39)</f>
        <v>0</v>
      </c>
      <c r="Z32" s="25">
        <f t="shared" ref="Z32:AA32" si="19">SUM(Z39)</f>
        <v>0</v>
      </c>
      <c r="AA32" s="25">
        <f t="shared" si="19"/>
        <v>0</v>
      </c>
      <c r="AB32" s="59"/>
      <c r="AD32" s="44">
        <f t="shared" si="14"/>
        <v>1.9146393807646041E-2</v>
      </c>
      <c r="AE32" s="44">
        <f t="shared" si="15"/>
        <v>0</v>
      </c>
      <c r="AF32" s="44">
        <f t="shared" si="16"/>
        <v>0</v>
      </c>
      <c r="AG32" s="44">
        <f t="shared" si="17"/>
        <v>0</v>
      </c>
    </row>
    <row r="33" spans="1:33" s="24" customFormat="1" ht="15.6" customHeight="1">
      <c r="A33" s="5">
        <v>19</v>
      </c>
      <c r="B33" s="26" t="s">
        <v>44</v>
      </c>
      <c r="C33" s="25"/>
      <c r="D33" s="25"/>
      <c r="E33" s="25"/>
      <c r="F33" s="25"/>
      <c r="G33" s="25"/>
      <c r="H33" s="25"/>
      <c r="I33" s="25"/>
      <c r="J33" s="25"/>
      <c r="K33" s="25">
        <v>0</v>
      </c>
      <c r="L33" s="25">
        <v>0</v>
      </c>
      <c r="M33" s="25">
        <v>0</v>
      </c>
      <c r="N33" s="25">
        <v>0</v>
      </c>
      <c r="O33" s="25">
        <f>SUM(53700+4171836)</f>
        <v>4225536</v>
      </c>
      <c r="P33" s="25">
        <v>0</v>
      </c>
      <c r="Q33" s="25">
        <v>0</v>
      </c>
      <c r="R33" s="40"/>
      <c r="S33" s="25">
        <v>0</v>
      </c>
      <c r="T33" s="25">
        <f>SUM(6017375.39+28521.8)</f>
        <v>6045897.1899999995</v>
      </c>
      <c r="U33" s="40"/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59"/>
      <c r="AD33" s="44">
        <f t="shared" si="14"/>
        <v>0</v>
      </c>
      <c r="AE33" s="44">
        <f t="shared" si="15"/>
        <v>0</v>
      </c>
      <c r="AF33" s="44">
        <f t="shared" si="16"/>
        <v>0</v>
      </c>
      <c r="AG33" s="44">
        <f t="shared" si="17"/>
        <v>0</v>
      </c>
    </row>
    <row r="34" spans="1:33" s="24" customFormat="1" ht="16.7" customHeight="1" thickBot="1">
      <c r="A34" s="5">
        <v>20</v>
      </c>
      <c r="B34" s="28" t="s">
        <v>45</v>
      </c>
      <c r="C34" s="29">
        <f t="shared" ref="C34:J34" si="20">SUM(C25:C32)</f>
        <v>10992000</v>
      </c>
      <c r="D34" s="29">
        <f t="shared" si="20"/>
        <v>11293000</v>
      </c>
      <c r="E34" s="29">
        <f t="shared" si="20"/>
        <v>13010000</v>
      </c>
      <c r="F34" s="29">
        <f t="shared" si="20"/>
        <v>12789000</v>
      </c>
      <c r="G34" s="29">
        <f t="shared" si="20"/>
        <v>14229000</v>
      </c>
      <c r="H34" s="29">
        <f t="shared" si="20"/>
        <v>15922000</v>
      </c>
      <c r="I34" s="29">
        <f t="shared" si="20"/>
        <v>16280000</v>
      </c>
      <c r="J34" s="29">
        <f t="shared" si="20"/>
        <v>16823000</v>
      </c>
      <c r="K34" s="29">
        <f t="shared" ref="K34:Q34" si="21">SUM(K25:K33)</f>
        <v>17277000</v>
      </c>
      <c r="L34" s="29">
        <f t="shared" si="21"/>
        <v>17846000</v>
      </c>
      <c r="M34" s="29">
        <f t="shared" si="21"/>
        <v>17674147</v>
      </c>
      <c r="N34" s="29">
        <f t="shared" si="21"/>
        <v>16243609</v>
      </c>
      <c r="O34" s="29">
        <f t="shared" si="21"/>
        <v>20273159.650000002</v>
      </c>
      <c r="P34" s="29">
        <f t="shared" si="21"/>
        <v>16288236.199999997</v>
      </c>
      <c r="Q34" s="29">
        <f t="shared" si="21"/>
        <v>18100246.289999999</v>
      </c>
      <c r="R34" s="41"/>
      <c r="S34" s="29">
        <f t="shared" ref="S34:Z34" si="22">SUM(S25:S32)</f>
        <v>19761275.240000002</v>
      </c>
      <c r="T34" s="29">
        <f>SUM(T25:T33)</f>
        <v>24838397.219999999</v>
      </c>
      <c r="U34" s="41"/>
      <c r="V34" s="29">
        <f>SUM(V25:V32)+8.46</f>
        <v>17136046.259999994</v>
      </c>
      <c r="W34" s="29">
        <f t="shared" si="22"/>
        <v>18250091.824999999</v>
      </c>
      <c r="X34" s="29">
        <f t="shared" si="22"/>
        <v>19020254.089749999</v>
      </c>
      <c r="Y34" s="29">
        <f t="shared" si="22"/>
        <v>19266104.2970425</v>
      </c>
      <c r="Z34" s="29">
        <f t="shared" si="22"/>
        <v>19839608.236141771</v>
      </c>
      <c r="AA34" s="29">
        <f t="shared" ref="AA34" si="23">SUM(AA25:AA32)</f>
        <v>20388178.631390788</v>
      </c>
      <c r="AB34" s="59"/>
      <c r="AD34" s="44"/>
      <c r="AE34" s="44"/>
    </row>
    <row r="35" spans="1:33" s="24" customFormat="1" ht="6.75" customHeight="1" thickTop="1">
      <c r="A35" s="5"/>
      <c r="B35" s="2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0"/>
      <c r="S35" s="25"/>
      <c r="T35" s="25"/>
      <c r="U35" s="40"/>
      <c r="V35" s="25"/>
      <c r="W35" s="25"/>
      <c r="X35" s="25"/>
      <c r="Y35" s="25"/>
      <c r="Z35" s="25"/>
      <c r="AA35" s="25"/>
      <c r="AB35" s="59"/>
      <c r="AD35" s="44"/>
      <c r="AE35" s="44"/>
    </row>
    <row r="36" spans="1:33" s="28" customFormat="1" ht="18" customHeight="1">
      <c r="A36" s="5">
        <v>21</v>
      </c>
      <c r="B36" s="30" t="s">
        <v>46</v>
      </c>
      <c r="C36" s="31">
        <f t="shared" ref="C36:AA36" si="24">C22-C34</f>
        <v>-194000</v>
      </c>
      <c r="D36" s="31">
        <f t="shared" si="24"/>
        <v>-861000</v>
      </c>
      <c r="E36" s="31">
        <f t="shared" si="24"/>
        <v>-2144000</v>
      </c>
      <c r="F36" s="31">
        <f t="shared" si="24"/>
        <v>-1145000</v>
      </c>
      <c r="G36" s="31">
        <f t="shared" si="24"/>
        <v>-2005000</v>
      </c>
      <c r="H36" s="31">
        <f t="shared" si="24"/>
        <v>-3156000</v>
      </c>
      <c r="I36" s="31">
        <f t="shared" si="24"/>
        <v>-364000</v>
      </c>
      <c r="J36" s="31">
        <f t="shared" si="24"/>
        <v>-2430000</v>
      </c>
      <c r="K36" s="31">
        <f t="shared" si="24"/>
        <v>-1706000</v>
      </c>
      <c r="L36" s="31">
        <f t="shared" si="24"/>
        <v>-1225000</v>
      </c>
      <c r="M36" s="31">
        <f t="shared" si="24"/>
        <v>-425613</v>
      </c>
      <c r="N36" s="31">
        <f t="shared" si="24"/>
        <v>84377</v>
      </c>
      <c r="O36" s="31">
        <f t="shared" si="24"/>
        <v>68354.39999999851</v>
      </c>
      <c r="P36" s="31">
        <f t="shared" si="24"/>
        <v>225382.62000000104</v>
      </c>
      <c r="Q36" s="31">
        <f t="shared" si="24"/>
        <v>-546403.85000000149</v>
      </c>
      <c r="R36" s="42"/>
      <c r="S36" s="31">
        <f t="shared" si="24"/>
        <v>-2812500.4100000039</v>
      </c>
      <c r="T36" s="31">
        <f t="shared" si="24"/>
        <v>-1577262.5</v>
      </c>
      <c r="U36" s="42"/>
      <c r="V36" s="31">
        <f t="shared" si="24"/>
        <v>1696714.7600000054</v>
      </c>
      <c r="W36" s="31">
        <f t="shared" si="24"/>
        <v>370826.29500000179</v>
      </c>
      <c r="X36" s="31">
        <f t="shared" si="24"/>
        <v>-450008.0882499963</v>
      </c>
      <c r="Y36" s="31">
        <f t="shared" si="24"/>
        <v>-420572.36260500178</v>
      </c>
      <c r="Z36" s="31">
        <f t="shared" si="24"/>
        <v>-649825.86546533555</v>
      </c>
      <c r="AA36" s="31">
        <f t="shared" si="24"/>
        <v>-889275.55586688221</v>
      </c>
      <c r="AB36" s="63"/>
      <c r="AD36" s="46"/>
      <c r="AE36" s="46"/>
    </row>
    <row r="37" spans="1:33" s="24" customFormat="1" ht="6.75" customHeight="1">
      <c r="A37" s="5"/>
      <c r="B37" s="28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0"/>
      <c r="S37" s="25"/>
      <c r="T37" s="25"/>
      <c r="U37" s="40"/>
      <c r="V37" s="25"/>
      <c r="W37" s="25"/>
      <c r="X37" s="25"/>
      <c r="Y37" s="25"/>
      <c r="Z37" s="25"/>
      <c r="AA37" s="25"/>
      <c r="AB37" s="59"/>
      <c r="AD37" s="44"/>
      <c r="AE37" s="44"/>
    </row>
    <row r="38" spans="1:33" s="28" customFormat="1" ht="12.75">
      <c r="A38" s="5">
        <v>22</v>
      </c>
      <c r="B38" s="24" t="s">
        <v>47</v>
      </c>
      <c r="C38" s="25"/>
      <c r="D38" s="25">
        <v>2000000</v>
      </c>
      <c r="E38" s="25"/>
      <c r="F38" s="25">
        <v>15329000</v>
      </c>
      <c r="G38" s="25"/>
      <c r="H38" s="25">
        <v>3740000</v>
      </c>
      <c r="I38" s="25"/>
      <c r="J38" s="25"/>
      <c r="K38" s="25">
        <v>7000000</v>
      </c>
      <c r="L38" s="25"/>
      <c r="M38" s="25"/>
      <c r="N38" s="25"/>
      <c r="O38" s="25"/>
      <c r="P38" s="25"/>
      <c r="Q38" s="25">
        <v>446500</v>
      </c>
      <c r="R38" s="40"/>
      <c r="S38" s="25"/>
      <c r="T38" s="25">
        <v>3790000</v>
      </c>
      <c r="U38" s="40"/>
      <c r="V38" s="25"/>
      <c r="W38" s="25"/>
      <c r="X38" s="25"/>
      <c r="Y38" s="25"/>
      <c r="Z38" s="25"/>
      <c r="AA38" s="25"/>
      <c r="AB38" s="63"/>
      <c r="AD38" s="46"/>
      <c r="AE38" s="46"/>
    </row>
    <row r="39" spans="1:33" s="28" customFormat="1" ht="12.75">
      <c r="A39" s="5">
        <v>23</v>
      </c>
      <c r="B39" s="24" t="s">
        <v>48</v>
      </c>
      <c r="C39" s="25"/>
      <c r="D39" s="25"/>
      <c r="E39" s="25"/>
      <c r="F39" s="25"/>
      <c r="G39" s="25"/>
      <c r="H39" s="25">
        <v>12986000</v>
      </c>
      <c r="I39" s="25">
        <v>1443000</v>
      </c>
      <c r="J39" s="25"/>
      <c r="K39" s="25"/>
      <c r="L39" s="25"/>
      <c r="M39" s="25"/>
      <c r="N39" s="25"/>
      <c r="O39" s="25"/>
      <c r="P39" s="25"/>
      <c r="Q39" s="25">
        <f>SUM(88784.76+101560.08+26915.77+430457.01)</f>
        <v>647717.62</v>
      </c>
      <c r="R39" s="40"/>
      <c r="S39" s="25">
        <v>1617075.28</v>
      </c>
      <c r="T39" s="25">
        <f>SUM(207410.19+490397.69+13511+428697.91+67742.36)</f>
        <v>1207759.1500000001</v>
      </c>
      <c r="U39" s="40"/>
      <c r="V39" s="25">
        <v>328093.49</v>
      </c>
      <c r="W39" s="25">
        <v>0</v>
      </c>
      <c r="X39" s="25">
        <f>+W39</f>
        <v>0</v>
      </c>
      <c r="Y39" s="25">
        <f>+X39</f>
        <v>0</v>
      </c>
      <c r="Z39" s="25">
        <f>+Y39</f>
        <v>0</v>
      </c>
      <c r="AA39" s="25">
        <f>+Z39</f>
        <v>0</v>
      </c>
      <c r="AB39" s="63"/>
      <c r="AD39" s="46"/>
      <c r="AE39" s="46"/>
    </row>
    <row r="40" spans="1:33" s="28" customFormat="1" ht="12.75">
      <c r="A40" s="5">
        <v>24</v>
      </c>
      <c r="B40" s="24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>
        <v>454773.21</v>
      </c>
      <c r="R40" s="40"/>
      <c r="S40" s="25"/>
      <c r="T40" s="25"/>
      <c r="U40" s="40"/>
      <c r="V40" s="25"/>
      <c r="W40" s="25"/>
      <c r="X40" s="25"/>
      <c r="Y40" s="25"/>
      <c r="Z40" s="25"/>
      <c r="AA40" s="25"/>
      <c r="AB40" s="63"/>
      <c r="AD40" s="46"/>
      <c r="AE40" s="46"/>
    </row>
    <row r="41" spans="1:33" s="28" customFormat="1" ht="12.75">
      <c r="A41" s="5">
        <v>25</v>
      </c>
      <c r="B41" s="24" t="s">
        <v>50</v>
      </c>
      <c r="C41" s="25"/>
      <c r="D41" s="25"/>
      <c r="E41" s="25"/>
      <c r="F41" s="25"/>
      <c r="G41" s="25"/>
      <c r="H41" s="25"/>
      <c r="I41" s="25">
        <v>1135000</v>
      </c>
      <c r="J41" s="25"/>
      <c r="K41" s="25"/>
      <c r="L41" s="25">
        <v>200000</v>
      </c>
      <c r="M41" s="25">
        <v>200000</v>
      </c>
      <c r="N41" s="25">
        <v>200000</v>
      </c>
      <c r="O41" s="25">
        <v>200000</v>
      </c>
      <c r="P41" s="25">
        <v>200000</v>
      </c>
      <c r="Q41" s="25"/>
      <c r="R41" s="40"/>
      <c r="S41" s="25"/>
      <c r="T41" s="25"/>
      <c r="U41" s="40"/>
      <c r="V41" s="25"/>
      <c r="W41" s="25"/>
      <c r="X41" s="25"/>
      <c r="Y41" s="25"/>
      <c r="Z41" s="25"/>
      <c r="AA41" s="25"/>
      <c r="AB41" s="63"/>
      <c r="AD41" s="46"/>
      <c r="AE41" s="46"/>
    </row>
    <row r="42" spans="1:33" s="28" customFormat="1" ht="12.75">
      <c r="A42" s="5">
        <v>26</v>
      </c>
      <c r="B42" s="24" t="s">
        <v>43</v>
      </c>
      <c r="C42" s="25"/>
      <c r="D42" s="25">
        <v>-1653000</v>
      </c>
      <c r="E42" s="25"/>
      <c r="F42" s="25">
        <v>-2958000</v>
      </c>
      <c r="G42" s="25">
        <v>-2654000</v>
      </c>
      <c r="H42" s="25">
        <v>-17350000</v>
      </c>
      <c r="I42" s="25">
        <v>-3936000</v>
      </c>
      <c r="J42" s="25">
        <v>-465000</v>
      </c>
      <c r="K42" s="25"/>
      <c r="L42" s="25"/>
      <c r="M42" s="25"/>
      <c r="N42" s="25"/>
      <c r="O42" s="25"/>
      <c r="P42" s="25"/>
      <c r="Q42" s="25"/>
      <c r="R42" s="40"/>
      <c r="S42" s="25"/>
      <c r="T42" s="25"/>
      <c r="U42" s="40"/>
      <c r="V42" s="25"/>
      <c r="W42" s="25"/>
      <c r="X42" s="25"/>
      <c r="Y42" s="25"/>
      <c r="Z42" s="25"/>
      <c r="AA42" s="25"/>
      <c r="AB42" s="63"/>
      <c r="AD42" s="46"/>
      <c r="AE42" s="46"/>
    </row>
    <row r="43" spans="1:33" s="24" customFormat="1" ht="18" customHeight="1">
      <c r="A43" s="5">
        <v>27</v>
      </c>
      <c r="B43" s="32" t="s">
        <v>51</v>
      </c>
      <c r="C43" s="31">
        <f t="shared" ref="C43:N43" si="25">C13+C22-C34+C38+C39+C41+C42</f>
        <v>7795000</v>
      </c>
      <c r="D43" s="31">
        <f t="shared" si="25"/>
        <v>7281000</v>
      </c>
      <c r="E43" s="31">
        <f t="shared" si="25"/>
        <v>5137000</v>
      </c>
      <c r="F43" s="31">
        <f t="shared" si="25"/>
        <v>16363000</v>
      </c>
      <c r="G43" s="31">
        <f t="shared" si="25"/>
        <v>11704000</v>
      </c>
      <c r="H43" s="31">
        <f t="shared" si="25"/>
        <v>7924000</v>
      </c>
      <c r="I43" s="31">
        <f t="shared" si="25"/>
        <v>6202000</v>
      </c>
      <c r="J43" s="31">
        <f t="shared" si="25"/>
        <v>3307000</v>
      </c>
      <c r="K43" s="31">
        <f t="shared" si="25"/>
        <v>8601000</v>
      </c>
      <c r="L43" s="31">
        <f t="shared" si="25"/>
        <v>7576000</v>
      </c>
      <c r="M43" s="31">
        <f t="shared" si="25"/>
        <v>7350387</v>
      </c>
      <c r="N43" s="31">
        <f t="shared" si="25"/>
        <v>7634764</v>
      </c>
      <c r="O43" s="31">
        <f>O13+O22-O34+O38+O39+O41+O42+9287</f>
        <v>7912299.4299999997</v>
      </c>
      <c r="P43" s="31">
        <f>P13+P22-P34+P38+P39+P40+P41+P42-3598</f>
        <v>8334084.0500000026</v>
      </c>
      <c r="Q43" s="31">
        <f>Q13+Q22-Q34+Q38+Q39+Q40+Q41+Q42-1163</f>
        <v>9335508.0300000031</v>
      </c>
      <c r="R43" s="42"/>
      <c r="S43" s="31">
        <f>S13+S22-S34+S38+S39+S41+S42-799.25</f>
        <v>8139283.6499999976</v>
      </c>
      <c r="T43" s="31">
        <f>T13+T22-T34+T38+T39+T41+T42+4875</f>
        <v>11564655.299999999</v>
      </c>
      <c r="U43" s="42"/>
      <c r="V43" s="31">
        <f t="shared" ref="V43:AA43" si="26">V13+V22-V34+V38+V39+V41+V42</f>
        <v>13589463.550000006</v>
      </c>
      <c r="W43" s="31">
        <f t="shared" si="26"/>
        <v>13960289.84500001</v>
      </c>
      <c r="X43" s="31">
        <f t="shared" si="26"/>
        <v>13510281.756750014</v>
      </c>
      <c r="Y43" s="31">
        <f t="shared" si="26"/>
        <v>13089709.394145012</v>
      </c>
      <c r="Z43" s="31">
        <f t="shared" si="26"/>
        <v>12439883.528679676</v>
      </c>
      <c r="AA43" s="31">
        <f t="shared" si="26"/>
        <v>11550607.972812794</v>
      </c>
      <c r="AB43" s="63"/>
      <c r="AC43" s="28"/>
      <c r="AD43" s="46"/>
      <c r="AE43" s="44"/>
    </row>
    <row r="44" spans="1:33" s="24" customFormat="1" ht="6" customHeight="1">
      <c r="A44" s="5"/>
      <c r="B44" s="3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38"/>
      <c r="S44" s="20"/>
      <c r="T44" s="20"/>
      <c r="U44" s="38"/>
      <c r="V44" s="20"/>
      <c r="W44" s="20"/>
      <c r="X44" s="20"/>
      <c r="Y44" s="20"/>
      <c r="Z44" s="20"/>
      <c r="AA44" s="20"/>
      <c r="AB44" s="63"/>
      <c r="AC44" s="28"/>
      <c r="AD44" s="46"/>
      <c r="AE44" s="44"/>
    </row>
    <row r="45" spans="1:33" s="7" customFormat="1" ht="15">
      <c r="A45" s="34" t="s">
        <v>52</v>
      </c>
      <c r="B45" s="65" t="s">
        <v>53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34"/>
      <c r="Q45" s="56"/>
      <c r="R45" s="52"/>
      <c r="S45" s="52"/>
      <c r="T45" s="34" t="s">
        <v>52</v>
      </c>
      <c r="U45" s="52"/>
      <c r="V45" s="66" t="s">
        <v>54</v>
      </c>
      <c r="W45" s="52"/>
      <c r="X45" s="52"/>
      <c r="Y45" s="52"/>
      <c r="Z45" s="52"/>
      <c r="AA45" s="52"/>
      <c r="AB45" s="63"/>
      <c r="AC45" s="28"/>
      <c r="AD45" s="46"/>
      <c r="AE45" s="44"/>
    </row>
    <row r="46" spans="1:33" s="7" customFormat="1" ht="12.75">
      <c r="A46" s="5">
        <v>3</v>
      </c>
      <c r="B46" s="6" t="s">
        <v>55</v>
      </c>
      <c r="C46" s="52"/>
      <c r="D46" s="52"/>
      <c r="E46" s="5"/>
      <c r="F46" s="55"/>
      <c r="G46" s="52"/>
      <c r="H46" s="52"/>
      <c r="I46" s="52"/>
      <c r="J46" s="52"/>
      <c r="K46" s="52"/>
      <c r="L46" s="52"/>
      <c r="M46" s="5"/>
      <c r="N46" s="55"/>
      <c r="O46" s="52"/>
      <c r="P46" s="5"/>
      <c r="Q46" s="57"/>
      <c r="R46" s="52"/>
      <c r="S46" s="52"/>
      <c r="T46" s="5">
        <v>11</v>
      </c>
      <c r="U46" s="52"/>
      <c r="V46" s="57" t="s">
        <v>66</v>
      </c>
      <c r="W46" s="52"/>
      <c r="X46" s="52"/>
      <c r="Y46" s="52"/>
      <c r="Z46" s="52"/>
      <c r="AA46" s="52"/>
      <c r="AB46" s="63"/>
      <c r="AC46" s="28"/>
      <c r="AD46" s="46"/>
      <c r="AE46" s="44"/>
    </row>
    <row r="47" spans="1:33" s="7" customFormat="1" ht="12.75">
      <c r="A47" s="5">
        <v>4</v>
      </c>
      <c r="B47" s="6" t="s">
        <v>57</v>
      </c>
      <c r="C47" s="52"/>
      <c r="D47" s="52"/>
      <c r="E47" s="5"/>
      <c r="F47" s="55"/>
      <c r="G47" s="52"/>
      <c r="H47" s="52"/>
      <c r="I47" s="52"/>
      <c r="J47" s="52"/>
      <c r="K47" s="52"/>
      <c r="L47" s="52"/>
      <c r="M47" s="5"/>
      <c r="N47" s="55"/>
      <c r="O47" s="52"/>
      <c r="P47" s="5"/>
      <c r="Q47" s="57"/>
      <c r="R47" s="52"/>
      <c r="S47" s="52"/>
      <c r="T47" s="5">
        <v>12</v>
      </c>
      <c r="U47" s="52"/>
      <c r="V47" s="57" t="s">
        <v>58</v>
      </c>
      <c r="W47" s="52"/>
      <c r="X47" s="52"/>
      <c r="Y47" s="52"/>
      <c r="Z47" s="52"/>
      <c r="AA47" s="52"/>
      <c r="AB47" s="63"/>
      <c r="AC47" s="28"/>
      <c r="AD47" s="46"/>
      <c r="AE47" s="44"/>
    </row>
    <row r="48" spans="1:33" s="7" customFormat="1" ht="12.75">
      <c r="A48" s="5">
        <v>5</v>
      </c>
      <c r="B48" s="6" t="s">
        <v>59</v>
      </c>
      <c r="C48" s="52"/>
      <c r="D48" s="52"/>
      <c r="E48" s="5"/>
      <c r="F48" s="55"/>
      <c r="G48" s="52"/>
      <c r="H48" s="52"/>
      <c r="I48" s="52"/>
      <c r="J48" s="52"/>
      <c r="K48" s="52"/>
      <c r="L48" s="52"/>
      <c r="M48" s="5"/>
      <c r="N48" s="55"/>
      <c r="O48" s="52"/>
      <c r="P48" s="5"/>
      <c r="Q48" s="57"/>
      <c r="R48" s="52"/>
      <c r="S48" s="52"/>
      <c r="T48" s="5" t="s">
        <v>60</v>
      </c>
      <c r="U48" s="52"/>
      <c r="V48" s="57" t="s">
        <v>61</v>
      </c>
      <c r="W48" s="52"/>
      <c r="X48" s="52"/>
      <c r="Y48" s="52"/>
      <c r="Z48" s="52"/>
      <c r="AA48" s="52"/>
      <c r="AB48" s="63"/>
      <c r="AC48" s="28"/>
      <c r="AD48" s="46"/>
      <c r="AE48" s="44"/>
    </row>
    <row r="49" spans="1:31" s="7" customFormat="1" ht="12.75">
      <c r="A49" s="5" t="s">
        <v>62</v>
      </c>
      <c r="B49" s="6" t="s">
        <v>63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"/>
      <c r="Q49" s="57"/>
      <c r="R49" s="52"/>
      <c r="S49" s="52"/>
      <c r="T49" s="5">
        <v>17</v>
      </c>
      <c r="U49" s="52"/>
      <c r="V49" s="57" t="s">
        <v>64</v>
      </c>
      <c r="W49" s="52"/>
      <c r="X49" s="52"/>
      <c r="Y49" s="52"/>
      <c r="Z49" s="52"/>
      <c r="AA49" s="52"/>
      <c r="AB49" s="63"/>
      <c r="AC49" s="28"/>
      <c r="AD49" s="46"/>
      <c r="AE49" s="44"/>
    </row>
    <row r="50" spans="1:31" ht="12.75">
      <c r="A50" s="5"/>
      <c r="B50" s="6"/>
      <c r="P50" s="5"/>
      <c r="Q50" s="55"/>
      <c r="AB50" s="63"/>
      <c r="AC50" s="28"/>
      <c r="AD50" s="46"/>
    </row>
    <row r="51" spans="1:31" ht="12.75">
      <c r="A51" s="5"/>
      <c r="B51" s="6"/>
      <c r="AB51" s="63"/>
      <c r="AC51" s="28"/>
      <c r="AD51" s="46"/>
    </row>
    <row r="52" spans="1:31" ht="12.75">
      <c r="A52" s="5"/>
      <c r="B52" s="6"/>
      <c r="AB52" s="63"/>
      <c r="AC52" s="28"/>
      <c r="AD52" s="46"/>
    </row>
    <row r="53" spans="1:31" ht="12.75">
      <c r="AB53" s="63"/>
      <c r="AC53" s="28"/>
      <c r="AD53" s="46"/>
    </row>
    <row r="54" spans="1:31" ht="12.75">
      <c r="AB54" s="63"/>
      <c r="AC54" s="28"/>
      <c r="AD54" s="46"/>
    </row>
    <row r="55" spans="1:31" ht="12.75">
      <c r="AB55" s="63"/>
      <c r="AC55" s="28"/>
      <c r="AD55" s="46"/>
    </row>
    <row r="56" spans="1:31" ht="12.75">
      <c r="AB56" s="63"/>
      <c r="AC56" s="28"/>
      <c r="AD56" s="46"/>
    </row>
    <row r="57" spans="1:31" ht="12.75">
      <c r="AB57" s="63"/>
      <c r="AC57" s="28"/>
      <c r="AD57" s="46"/>
    </row>
    <row r="58" spans="1:31" ht="12.75">
      <c r="AB58" s="63"/>
      <c r="AC58" s="28"/>
      <c r="AD58" s="46"/>
    </row>
    <row r="59" spans="1:31" ht="12.75">
      <c r="AB59" s="63"/>
      <c r="AC59" s="28"/>
      <c r="AD59" s="46"/>
    </row>
    <row r="60" spans="1:31" ht="12.75">
      <c r="AB60" s="63"/>
      <c r="AC60" s="28"/>
      <c r="AD60" s="46"/>
    </row>
    <row r="61" spans="1:31" ht="12.75">
      <c r="AB61" s="63"/>
      <c r="AC61" s="28"/>
      <c r="AD61" s="46"/>
    </row>
    <row r="62" spans="1:31" ht="12.75">
      <c r="AB62" s="63"/>
      <c r="AC62" s="28"/>
      <c r="AD62" s="46"/>
    </row>
    <row r="63" spans="1:31" ht="12.75">
      <c r="AB63" s="63"/>
      <c r="AC63" s="28"/>
      <c r="AD63" s="46"/>
    </row>
    <row r="64" spans="1:31" ht="12.75">
      <c r="AB64" s="63"/>
      <c r="AC64" s="28"/>
      <c r="AD64" s="46"/>
    </row>
    <row r="65" spans="28:30" ht="12.75">
      <c r="AB65" s="63"/>
      <c r="AC65" s="28"/>
      <c r="AD65" s="46"/>
    </row>
    <row r="66" spans="28:30" ht="12.75">
      <c r="AB66" s="63"/>
      <c r="AC66" s="28"/>
      <c r="AD66" s="46"/>
    </row>
  </sheetData>
  <printOptions horizontalCentered="1"/>
  <pageMargins left="0" right="0" top="0" bottom="0.5" header="0.5" footer="0.15"/>
  <pageSetup paperSize="5" scale="87" orientation="landscape" verticalDpi="300" r:id="rId1"/>
  <headerFooter>
    <oddFooter>Page &amp;P&amp;R&amp;A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AC66"/>
  <sheetViews>
    <sheetView tabSelected="1" showRuler="0" zoomScale="120" zoomScaleNormal="120" zoomScalePageLayoutView="150" workbookViewId="0"/>
  </sheetViews>
  <sheetFormatPr defaultRowHeight="12"/>
  <cols>
    <col min="1" max="1" width="5.42578125" style="3" bestFit="1" customWidth="1"/>
    <col min="2" max="2" width="34.7109375" style="1" customWidth="1"/>
    <col min="3" max="5" width="10.42578125" style="47" hidden="1" customWidth="1"/>
    <col min="6" max="6" width="10.28515625" style="47" hidden="1" customWidth="1"/>
    <col min="7" max="7" width="10.42578125" style="47" hidden="1" customWidth="1"/>
    <col min="8" max="8" width="11" style="47" hidden="1" customWidth="1"/>
    <col min="9" max="13" width="10.42578125" style="47" hidden="1" customWidth="1"/>
    <col min="14" max="15" width="13.7109375" style="47" hidden="1" customWidth="1"/>
    <col min="16" max="17" width="13.7109375" style="47" customWidth="1"/>
    <col min="18" max="18" width="1.7109375" style="47" hidden="1" customWidth="1"/>
    <col min="19" max="21" width="13.7109375" style="47" customWidth="1"/>
    <col min="22" max="22" width="1.7109375" style="47" customWidth="1"/>
    <col min="23" max="23" width="19.28515625" style="47" bestFit="1" customWidth="1"/>
    <col min="24" max="27" width="13.7109375" style="47" customWidth="1"/>
    <col min="28" max="28" width="10.42578125" style="58" bestFit="1" customWidth="1"/>
    <col min="29" max="16384" width="9.140625" style="2"/>
  </cols>
  <sheetData>
    <row r="7" spans="1:28" ht="17.25">
      <c r="M7" s="48"/>
      <c r="N7" s="49"/>
      <c r="O7" s="49"/>
      <c r="P7" s="49"/>
      <c r="Q7" s="49"/>
      <c r="R7" s="49"/>
      <c r="V7" s="49"/>
    </row>
    <row r="8" spans="1:28" ht="9.75" customHeight="1">
      <c r="B8" s="4"/>
      <c r="M8" s="50"/>
      <c r="N8" s="51"/>
      <c r="O8" s="51"/>
      <c r="P8" s="51"/>
      <c r="Q8" s="51"/>
      <c r="R8" s="51"/>
      <c r="V8" s="51"/>
    </row>
    <row r="9" spans="1:28" s="7" customFormat="1" ht="12.6" customHeight="1">
      <c r="A9" s="5"/>
      <c r="B9" s="4" t="s">
        <v>17</v>
      </c>
      <c r="C9" s="52"/>
      <c r="D9" s="52"/>
      <c r="E9" s="52"/>
      <c r="F9" s="52"/>
      <c r="G9" s="52"/>
      <c r="H9" s="52"/>
      <c r="I9" s="52"/>
      <c r="J9" s="52"/>
      <c r="K9" s="53"/>
      <c r="L9" s="53"/>
      <c r="M9" s="54"/>
      <c r="N9" s="54"/>
      <c r="O9" s="54"/>
      <c r="P9" s="54"/>
      <c r="Q9" s="54"/>
      <c r="R9" s="8"/>
      <c r="S9" s="54"/>
      <c r="T9" s="54"/>
      <c r="U9" s="54"/>
      <c r="V9" s="51"/>
      <c r="W9" s="67" t="s">
        <v>18</v>
      </c>
      <c r="X9" s="68" t="s">
        <v>67</v>
      </c>
      <c r="Y9" s="9" t="s">
        <v>20</v>
      </c>
      <c r="Z9" s="9" t="s">
        <v>20</v>
      </c>
      <c r="AA9" s="9" t="s">
        <v>20</v>
      </c>
      <c r="AB9" s="59"/>
    </row>
    <row r="10" spans="1:28" s="12" customFormat="1" ht="12.75">
      <c r="A10" s="5"/>
      <c r="B10" s="10"/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11" t="s">
        <v>21</v>
      </c>
      <c r="I10" s="11" t="s">
        <v>21</v>
      </c>
      <c r="J10" s="11" t="s">
        <v>21</v>
      </c>
      <c r="K10" s="11" t="s">
        <v>21</v>
      </c>
      <c r="L10" s="11" t="s">
        <v>21</v>
      </c>
      <c r="M10" s="11" t="s">
        <v>21</v>
      </c>
      <c r="N10" s="11" t="s">
        <v>21</v>
      </c>
      <c r="O10" s="11" t="s">
        <v>21</v>
      </c>
      <c r="P10" s="11" t="s">
        <v>21</v>
      </c>
      <c r="Q10" s="11" t="s">
        <v>21</v>
      </c>
      <c r="R10" s="35"/>
      <c r="S10" s="11" t="s">
        <v>21</v>
      </c>
      <c r="T10" s="11" t="s">
        <v>21</v>
      </c>
      <c r="U10" s="11" t="s">
        <v>21</v>
      </c>
      <c r="V10" s="35"/>
      <c r="W10" s="11" t="s">
        <v>21</v>
      </c>
      <c r="X10" s="11" t="s">
        <v>21</v>
      </c>
      <c r="Y10" s="11" t="s">
        <v>21</v>
      </c>
      <c r="Z10" s="11" t="s">
        <v>21</v>
      </c>
      <c r="AA10" s="11" t="s">
        <v>21</v>
      </c>
      <c r="AB10" s="60"/>
    </row>
    <row r="11" spans="1:28" s="15" customFormat="1" ht="12.75">
      <c r="A11" s="5"/>
      <c r="B11" s="13"/>
      <c r="C11" s="14">
        <v>37072</v>
      </c>
      <c r="D11" s="14">
        <v>37437</v>
      </c>
      <c r="E11" s="14">
        <v>37774</v>
      </c>
      <c r="F11" s="14">
        <v>38139</v>
      </c>
      <c r="G11" s="14">
        <v>38504</v>
      </c>
      <c r="H11" s="14">
        <v>38869</v>
      </c>
      <c r="I11" s="14">
        <v>39234</v>
      </c>
      <c r="J11" s="14">
        <v>39600</v>
      </c>
      <c r="K11" s="14">
        <v>39965</v>
      </c>
      <c r="L11" s="14">
        <v>40359</v>
      </c>
      <c r="M11" s="14">
        <v>40724</v>
      </c>
      <c r="N11" s="14">
        <v>41090</v>
      </c>
      <c r="O11" s="14">
        <v>41455</v>
      </c>
      <c r="P11" s="14">
        <v>41820</v>
      </c>
      <c r="Q11" s="14">
        <v>42185</v>
      </c>
      <c r="R11" s="36"/>
      <c r="S11" s="14">
        <v>42551</v>
      </c>
      <c r="T11" s="14">
        <v>42916</v>
      </c>
      <c r="U11" s="14">
        <v>43281</v>
      </c>
      <c r="V11" s="36"/>
      <c r="W11" s="14">
        <v>43646</v>
      </c>
      <c r="X11" s="14">
        <v>44012</v>
      </c>
      <c r="Y11" s="14">
        <v>44377</v>
      </c>
      <c r="Z11" s="14">
        <v>44742</v>
      </c>
      <c r="AA11" s="14">
        <v>45107</v>
      </c>
      <c r="AB11" s="60"/>
    </row>
    <row r="12" spans="1:28" s="18" customFormat="1" ht="3" customHeight="1">
      <c r="A12" s="5"/>
      <c r="B12" s="16"/>
      <c r="C12" s="14"/>
      <c r="D12" s="14"/>
      <c r="E12" s="14"/>
      <c r="F12" s="14"/>
      <c r="G12" s="14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7"/>
      <c r="S12" s="17"/>
      <c r="T12" s="17"/>
      <c r="U12" s="17"/>
      <c r="V12" s="37"/>
      <c r="W12" s="17"/>
      <c r="X12" s="17"/>
      <c r="Y12" s="17"/>
      <c r="Z12" s="17"/>
      <c r="AA12" s="17"/>
      <c r="AB12" s="59"/>
    </row>
    <row r="13" spans="1:28" s="21" customFormat="1" ht="12.75">
      <c r="A13" s="5">
        <v>1</v>
      </c>
      <c r="B13" s="19" t="s">
        <v>22</v>
      </c>
      <c r="C13" s="20">
        <v>7989000</v>
      </c>
      <c r="D13" s="20">
        <f t="shared" ref="D13:J13" si="0">C43</f>
        <v>7795000</v>
      </c>
      <c r="E13" s="20">
        <f t="shared" si="0"/>
        <v>7281000</v>
      </c>
      <c r="F13" s="20">
        <f t="shared" si="0"/>
        <v>5137000</v>
      </c>
      <c r="G13" s="20">
        <f t="shared" si="0"/>
        <v>16363000</v>
      </c>
      <c r="H13" s="20">
        <f t="shared" si="0"/>
        <v>11704000</v>
      </c>
      <c r="I13" s="20">
        <f t="shared" si="0"/>
        <v>7924000</v>
      </c>
      <c r="J13" s="20">
        <f t="shared" si="0"/>
        <v>6202000</v>
      </c>
      <c r="K13" s="20">
        <f>J43</f>
        <v>3307000</v>
      </c>
      <c r="L13" s="20">
        <f>K43</f>
        <v>8601000</v>
      </c>
      <c r="M13" s="20">
        <f>L43</f>
        <v>7576000</v>
      </c>
      <c r="N13" s="20">
        <f>M43</f>
        <v>7350387</v>
      </c>
      <c r="O13" s="20">
        <v>7634658.0300000003</v>
      </c>
      <c r="P13" s="20">
        <f t="shared" ref="P13:AA13" si="1">O43</f>
        <v>7912299.4299999997</v>
      </c>
      <c r="Q13" s="20">
        <f t="shared" si="1"/>
        <v>8334084.0500000026</v>
      </c>
      <c r="R13" s="38"/>
      <c r="S13" s="20">
        <f>Q43</f>
        <v>9335508.0300000031</v>
      </c>
      <c r="T13" s="20">
        <f>S43</f>
        <v>8139283.6499999976</v>
      </c>
      <c r="U13" s="20">
        <f>T43</f>
        <v>11564655.299999999</v>
      </c>
      <c r="V13" s="38"/>
      <c r="W13" s="20">
        <f>U43</f>
        <v>13597325.860000007</v>
      </c>
      <c r="X13" s="20">
        <f t="shared" si="1"/>
        <v>12910727.330000006</v>
      </c>
      <c r="Y13" s="20">
        <f t="shared" si="1"/>
        <v>12316601.070000008</v>
      </c>
      <c r="Z13" s="20">
        <f t="shared" si="1"/>
        <v>10347284.760000013</v>
      </c>
      <c r="AA13" s="20">
        <f t="shared" si="1"/>
        <v>9830488.5023000166</v>
      </c>
      <c r="AB13" s="59"/>
    </row>
    <row r="14" spans="1:28" s="18" customFormat="1" ht="6" customHeight="1">
      <c r="A14" s="5"/>
      <c r="B14" s="16"/>
      <c r="C14" s="22"/>
      <c r="D14" s="22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9"/>
      <c r="S14" s="23"/>
      <c r="T14" s="23"/>
      <c r="U14" s="23"/>
      <c r="V14" s="39"/>
      <c r="W14" s="23"/>
      <c r="X14" s="23"/>
      <c r="Y14" s="23"/>
      <c r="Z14" s="23"/>
      <c r="AA14" s="23"/>
      <c r="AB14" s="59"/>
    </row>
    <row r="15" spans="1:28" s="7" customFormat="1" ht="12.75">
      <c r="A15" s="5">
        <v>2</v>
      </c>
      <c r="B15" s="6" t="s">
        <v>23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40"/>
      <c r="S15" s="25"/>
      <c r="T15" s="25"/>
      <c r="U15" s="25"/>
      <c r="V15" s="40"/>
      <c r="W15" s="25"/>
      <c r="X15" s="25"/>
      <c r="Y15" s="25"/>
      <c r="Z15" s="25"/>
      <c r="AA15" s="25"/>
      <c r="AB15" s="59"/>
    </row>
    <row r="16" spans="1:28" s="24" customFormat="1" ht="15.6" customHeight="1">
      <c r="A16" s="5">
        <v>3</v>
      </c>
      <c r="B16" s="26" t="s">
        <v>28</v>
      </c>
      <c r="C16" s="25">
        <v>5794000</v>
      </c>
      <c r="D16" s="25">
        <v>5978000</v>
      </c>
      <c r="E16" s="25">
        <v>6232000</v>
      </c>
      <c r="F16" s="25">
        <v>6407000</v>
      </c>
      <c r="G16" s="25">
        <v>6555000</v>
      </c>
      <c r="H16" s="25">
        <v>6815000</v>
      </c>
      <c r="I16" s="25">
        <v>8500000</v>
      </c>
      <c r="J16" s="25">
        <v>7654000</v>
      </c>
      <c r="K16" s="25">
        <v>8217000</v>
      </c>
      <c r="L16" s="25">
        <v>9210000</v>
      </c>
      <c r="M16" s="25">
        <v>8898309</v>
      </c>
      <c r="N16" s="27">
        <v>9215013</v>
      </c>
      <c r="O16" s="27">
        <v>9018419.3100000005</v>
      </c>
      <c r="P16" s="25">
        <f>SUM(9604681.28-116675.29)</f>
        <v>9488005.9900000002</v>
      </c>
      <c r="Q16" s="25">
        <v>9396925.5800000001</v>
      </c>
      <c r="R16" s="40"/>
      <c r="S16" s="25">
        <v>10056749.880000001</v>
      </c>
      <c r="T16" s="25">
        <v>9863623.9800000004</v>
      </c>
      <c r="U16" s="25">
        <v>9942745.3100000005</v>
      </c>
      <c r="V16" s="40"/>
      <c r="W16" s="25">
        <v>10216232.789999999</v>
      </c>
      <c r="X16" s="25">
        <v>10526399</v>
      </c>
      <c r="Y16" s="25">
        <f>SUM(X16-X31-130816)*AB16+(Y31*AB16+130816)</f>
        <v>10739859.460000001</v>
      </c>
      <c r="Z16" s="25">
        <f>SUM(Y16-Y31-130816)*AB16+(Z31*AB16+130816)</f>
        <v>11019427.904200001</v>
      </c>
      <c r="AA16" s="25">
        <f>SUM(Z16-Z31-130816)*AB16+(AA31*AB16+130816)</f>
        <v>11261125.517284</v>
      </c>
      <c r="AB16" s="61">
        <v>1.02</v>
      </c>
    </row>
    <row r="17" spans="1:29" s="24" customFormat="1" ht="15.6" customHeight="1">
      <c r="A17" s="5">
        <v>4</v>
      </c>
      <c r="B17" s="26" t="s">
        <v>29</v>
      </c>
      <c r="C17" s="25">
        <v>921000</v>
      </c>
      <c r="D17" s="25">
        <v>871000</v>
      </c>
      <c r="E17" s="25">
        <v>753000</v>
      </c>
      <c r="F17" s="25">
        <v>646000</v>
      </c>
      <c r="G17" s="25">
        <v>785000</v>
      </c>
      <c r="H17" s="25">
        <v>929000</v>
      </c>
      <c r="I17" s="25">
        <v>1025000</v>
      </c>
      <c r="J17" s="25">
        <v>946000</v>
      </c>
      <c r="K17" s="25">
        <v>749000</v>
      </c>
      <c r="L17" s="25">
        <v>826000</v>
      </c>
      <c r="M17" s="25">
        <v>773313</v>
      </c>
      <c r="N17" s="27">
        <v>855251</v>
      </c>
      <c r="O17" s="27">
        <f>SUM(931002-200000-100000)</f>
        <v>631002</v>
      </c>
      <c r="P17" s="25">
        <f>SUM(509529.12+116675.29+14158.57)</f>
        <v>640362.98</v>
      </c>
      <c r="Q17" s="25">
        <v>599134</v>
      </c>
      <c r="R17" s="40"/>
      <c r="S17" s="25">
        <v>544316.53</v>
      </c>
      <c r="T17" s="25">
        <v>568577.67000000004</v>
      </c>
      <c r="U17" s="25">
        <v>590892.73</v>
      </c>
      <c r="V17" s="40"/>
      <c r="W17" s="25">
        <v>723160.24</v>
      </c>
      <c r="X17" s="25">
        <v>716903</v>
      </c>
      <c r="Y17" s="25">
        <f>+X17*AB17</f>
        <v>731241.06</v>
      </c>
      <c r="Z17" s="25">
        <f>+Y17*AB17</f>
        <v>745865.88120000006</v>
      </c>
      <c r="AA17" s="25">
        <f>SUM(Z17-Z32)*AB17+(AA32*AB17)</f>
        <v>760783.19882400008</v>
      </c>
      <c r="AB17" s="61">
        <v>1.02</v>
      </c>
    </row>
    <row r="18" spans="1:29" s="24" customFormat="1" ht="15.6" customHeight="1">
      <c r="A18" s="5">
        <v>5</v>
      </c>
      <c r="B18" s="26" t="s">
        <v>30</v>
      </c>
      <c r="C18" s="25">
        <v>1595000</v>
      </c>
      <c r="D18" s="25">
        <v>1697000</v>
      </c>
      <c r="E18" s="25">
        <v>1711000</v>
      </c>
      <c r="F18" s="25">
        <v>2026000</v>
      </c>
      <c r="G18" s="25">
        <v>2508000</v>
      </c>
      <c r="H18" s="25">
        <v>2788000</v>
      </c>
      <c r="I18" s="25">
        <v>3345000</v>
      </c>
      <c r="J18" s="25">
        <v>3470000</v>
      </c>
      <c r="K18" s="25">
        <v>4019000</v>
      </c>
      <c r="L18" s="25">
        <v>3863000</v>
      </c>
      <c r="M18" s="25">
        <v>3774613</v>
      </c>
      <c r="N18" s="27">
        <v>3425646</v>
      </c>
      <c r="O18" s="27">
        <v>3336443.93</v>
      </c>
      <c r="P18" s="25">
        <v>3292376.03</v>
      </c>
      <c r="Q18" s="25">
        <f>SUM(3607389.19+80212)</f>
        <v>3687601.19</v>
      </c>
      <c r="R18" s="40"/>
      <c r="S18" s="25">
        <v>4152330.45</v>
      </c>
      <c r="T18" s="25">
        <v>4599383.51</v>
      </c>
      <c r="U18" s="25">
        <f>SUM(5123615.99+556984.15+24435.51)</f>
        <v>5705035.6500000004</v>
      </c>
      <c r="V18" s="40"/>
      <c r="W18" s="25">
        <v>6087465.3700000001</v>
      </c>
      <c r="X18" s="25">
        <v>6318950</v>
      </c>
      <c r="Y18" s="25">
        <f>SUM(X18*$AB$18)+300000</f>
        <v>6618950</v>
      </c>
      <c r="Z18" s="25">
        <f>SUM(Y18*$AB$18)+300000</f>
        <v>6918950</v>
      </c>
      <c r="AA18" s="25">
        <f>SUM(Z18*$AB$18)+300000</f>
        <v>7218950</v>
      </c>
      <c r="AB18" s="61">
        <v>1</v>
      </c>
    </row>
    <row r="19" spans="1:29" s="24" customFormat="1" ht="15.6" customHeight="1">
      <c r="A19" s="5">
        <v>6</v>
      </c>
      <c r="B19" s="26" t="s">
        <v>31</v>
      </c>
      <c r="C19" s="25">
        <v>1838000</v>
      </c>
      <c r="D19" s="25">
        <v>1354000</v>
      </c>
      <c r="E19" s="25">
        <v>1627000</v>
      </c>
      <c r="F19" s="25">
        <v>2052000</v>
      </c>
      <c r="G19" s="25">
        <v>1801000</v>
      </c>
      <c r="H19" s="25">
        <v>1771000</v>
      </c>
      <c r="I19" s="25">
        <v>2321000</v>
      </c>
      <c r="J19" s="25">
        <v>1766000</v>
      </c>
      <c r="K19" s="25">
        <v>1948000</v>
      </c>
      <c r="L19" s="25">
        <v>1834000</v>
      </c>
      <c r="M19" s="25">
        <v>2294113</v>
      </c>
      <c r="N19" s="27">
        <v>1867696</v>
      </c>
      <c r="O19" s="27">
        <f>SUM(5572254.07-O18)</f>
        <v>2235810.14</v>
      </c>
      <c r="P19" s="25">
        <v>2220209.29</v>
      </c>
      <c r="Q19" s="25">
        <f>SUM(1485336.78-80212)</f>
        <v>1405124.78</v>
      </c>
      <c r="R19" s="40"/>
      <c r="S19" s="25">
        <v>1168911.3899999999</v>
      </c>
      <c r="T19" s="25">
        <v>1060500.6000000001</v>
      </c>
      <c r="U19" s="25">
        <v>1577389.5</v>
      </c>
      <c r="V19" s="40"/>
      <c r="W19" s="25">
        <v>1025714.05</v>
      </c>
      <c r="X19" s="25">
        <v>929021</v>
      </c>
      <c r="Y19" s="25">
        <f>SUM(X19*$AB$19)</f>
        <v>929021</v>
      </c>
      <c r="Z19" s="25">
        <f>SUM(Y19*$AB$19)</f>
        <v>929021</v>
      </c>
      <c r="AA19" s="25">
        <f>SUM(Z19*$AB$19)</f>
        <v>929021</v>
      </c>
      <c r="AB19" s="61">
        <v>1</v>
      </c>
    </row>
    <row r="20" spans="1:29" s="24" customFormat="1" ht="15.6" customHeight="1">
      <c r="A20" s="5">
        <v>7</v>
      </c>
      <c r="B20" s="26" t="s">
        <v>32</v>
      </c>
      <c r="C20" s="25">
        <v>650000</v>
      </c>
      <c r="D20" s="25">
        <v>532000</v>
      </c>
      <c r="E20" s="25">
        <v>543000</v>
      </c>
      <c r="F20" s="25">
        <v>513000</v>
      </c>
      <c r="G20" s="25">
        <v>575000</v>
      </c>
      <c r="H20" s="25">
        <v>463000</v>
      </c>
      <c r="I20" s="25">
        <v>725000</v>
      </c>
      <c r="J20" s="25">
        <v>557000</v>
      </c>
      <c r="K20" s="25">
        <v>638000</v>
      </c>
      <c r="L20" s="25">
        <v>888000</v>
      </c>
      <c r="M20" s="25">
        <v>1508186</v>
      </c>
      <c r="N20" s="27">
        <v>964380</v>
      </c>
      <c r="O20" s="27">
        <v>890972.82</v>
      </c>
      <c r="P20" s="25">
        <v>872664.53</v>
      </c>
      <c r="Q20" s="25">
        <v>964588.89</v>
      </c>
      <c r="R20" s="40"/>
      <c r="S20" s="25">
        <v>1026466.58</v>
      </c>
      <c r="T20" s="25">
        <v>1119230.49</v>
      </c>
      <c r="U20" s="25">
        <v>1016697.83</v>
      </c>
      <c r="V20" s="40"/>
      <c r="W20" s="25">
        <v>844809.11</v>
      </c>
      <c r="X20" s="25">
        <v>1104197</v>
      </c>
      <c r="Y20" s="25">
        <f>SUM(X20*$AB$20)</f>
        <v>1104197</v>
      </c>
      <c r="Z20" s="25">
        <f>SUM(Y20*$AB$20)</f>
        <v>1104197</v>
      </c>
      <c r="AA20" s="25">
        <f>SUM(Z20*$AB$20)</f>
        <v>1104197</v>
      </c>
      <c r="AB20" s="61">
        <v>1</v>
      </c>
    </row>
    <row r="21" spans="1:29" s="24" customFormat="1" ht="15.6" customHeight="1">
      <c r="A21" s="5">
        <v>8</v>
      </c>
      <c r="B21" s="26" t="s">
        <v>33</v>
      </c>
      <c r="C21" s="25"/>
      <c r="D21" s="25"/>
      <c r="E21" s="25"/>
      <c r="F21" s="25"/>
      <c r="G21" s="25"/>
      <c r="H21" s="25"/>
      <c r="I21" s="25"/>
      <c r="J21" s="25"/>
      <c r="K21" s="25">
        <v>0</v>
      </c>
      <c r="L21" s="25">
        <v>0</v>
      </c>
      <c r="M21" s="25">
        <v>0</v>
      </c>
      <c r="N21" s="27">
        <v>0</v>
      </c>
      <c r="O21" s="27">
        <f>SUM(3795000+433865.85)</f>
        <v>4228865.8499999996</v>
      </c>
      <c r="P21" s="25">
        <v>0</v>
      </c>
      <c r="Q21" s="25">
        <v>1500468</v>
      </c>
      <c r="R21" s="40"/>
      <c r="S21" s="25">
        <v>0</v>
      </c>
      <c r="T21" s="25">
        <f>SUM(6390000-340181.53)</f>
        <v>6049818.4699999997</v>
      </c>
      <c r="U21" s="25">
        <v>0</v>
      </c>
      <c r="V21" s="40"/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61"/>
    </row>
    <row r="22" spans="1:29" s="28" customFormat="1" ht="16.7" customHeight="1" thickBot="1">
      <c r="A22" s="5">
        <v>9</v>
      </c>
      <c r="B22" s="28" t="s">
        <v>34</v>
      </c>
      <c r="C22" s="29">
        <f t="shared" ref="C22:J22" si="2">SUM(C16:C20)</f>
        <v>10798000</v>
      </c>
      <c r="D22" s="29">
        <f t="shared" si="2"/>
        <v>10432000</v>
      </c>
      <c r="E22" s="29">
        <f t="shared" si="2"/>
        <v>10866000</v>
      </c>
      <c r="F22" s="29">
        <f t="shared" si="2"/>
        <v>11644000</v>
      </c>
      <c r="G22" s="29">
        <f t="shared" si="2"/>
        <v>12224000</v>
      </c>
      <c r="H22" s="29">
        <f t="shared" si="2"/>
        <v>12766000</v>
      </c>
      <c r="I22" s="29">
        <f t="shared" si="2"/>
        <v>15916000</v>
      </c>
      <c r="J22" s="29">
        <f t="shared" si="2"/>
        <v>14393000</v>
      </c>
      <c r="K22" s="29">
        <f>SUM(K16:K21)</f>
        <v>15571000</v>
      </c>
      <c r="L22" s="29">
        <f>SUM(L16:L21)</f>
        <v>16621000</v>
      </c>
      <c r="M22" s="29">
        <f>SUM(M16:M21)</f>
        <v>17248534</v>
      </c>
      <c r="N22" s="29">
        <f>SUM(N16:N21)</f>
        <v>16327986</v>
      </c>
      <c r="O22" s="29">
        <f t="shared" ref="O22:AA22" si="3">SUM(O16:O21)</f>
        <v>20341514.050000001</v>
      </c>
      <c r="P22" s="29">
        <f t="shared" si="3"/>
        <v>16513618.819999998</v>
      </c>
      <c r="Q22" s="29">
        <f t="shared" si="3"/>
        <v>17553842.439999998</v>
      </c>
      <c r="R22" s="41"/>
      <c r="S22" s="29">
        <f t="shared" si="3"/>
        <v>16948774.829999998</v>
      </c>
      <c r="T22" s="29">
        <f t="shared" si="3"/>
        <v>23261134.719999999</v>
      </c>
      <c r="U22" s="29">
        <f t="shared" si="3"/>
        <v>18832761.02</v>
      </c>
      <c r="V22" s="41"/>
      <c r="W22" s="29">
        <f t="shared" si="3"/>
        <v>18897381.559999999</v>
      </c>
      <c r="X22" s="29">
        <f t="shared" si="3"/>
        <v>19595470</v>
      </c>
      <c r="Y22" s="29">
        <f t="shared" si="3"/>
        <v>20123268.520000003</v>
      </c>
      <c r="Z22" s="29">
        <f t="shared" si="3"/>
        <v>20717461.785400003</v>
      </c>
      <c r="AA22" s="29">
        <f t="shared" si="3"/>
        <v>21274076.716108002</v>
      </c>
      <c r="AB22" s="62"/>
    </row>
    <row r="23" spans="1:29" s="24" customFormat="1" ht="6.75" customHeight="1" thickTop="1">
      <c r="A23" s="5"/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40"/>
      <c r="S23" s="25"/>
      <c r="T23" s="25"/>
      <c r="U23" s="25"/>
      <c r="V23" s="40"/>
      <c r="W23" s="25"/>
      <c r="X23" s="25"/>
      <c r="Y23" s="25"/>
      <c r="Z23" s="25"/>
      <c r="AA23" s="25"/>
      <c r="AB23" s="61"/>
    </row>
    <row r="24" spans="1:29" s="24" customFormat="1" ht="15" customHeight="1">
      <c r="A24" s="5">
        <v>10</v>
      </c>
      <c r="B24" s="28" t="s">
        <v>35</v>
      </c>
      <c r="C24" s="44">
        <f t="shared" ref="C24" si="4">SUM(C25+C26)/(C34-C31-C32-C33)</f>
        <v>0.76787492531368251</v>
      </c>
      <c r="D24" s="44">
        <f t="shared" ref="D24" si="5">SUM(D25+D26)/(D34-D31-D32-D33)</f>
        <v>0.80340887081154366</v>
      </c>
      <c r="E24" s="44">
        <f t="shared" ref="E24:S24" si="6">SUM(E25+E26)/(E34-E31-E32-E33)</f>
        <v>0.81176578560939794</v>
      </c>
      <c r="F24" s="44">
        <f t="shared" si="6"/>
        <v>0.82318591670244745</v>
      </c>
      <c r="G24" s="44">
        <f t="shared" si="6"/>
        <v>0.80702317004730217</v>
      </c>
      <c r="H24" s="44">
        <f t="shared" si="6"/>
        <v>0.76568038775953118</v>
      </c>
      <c r="I24" s="44">
        <f t="shared" si="6"/>
        <v>0.77673559297946426</v>
      </c>
      <c r="J24" s="44">
        <f t="shared" si="6"/>
        <v>0.77143248425089017</v>
      </c>
      <c r="K24" s="44">
        <f t="shared" si="6"/>
        <v>0.78928144507902775</v>
      </c>
      <c r="L24" s="44">
        <f t="shared" si="6"/>
        <v>0.79107215654300855</v>
      </c>
      <c r="M24" s="44">
        <f t="shared" si="6"/>
        <v>0.78953843052177963</v>
      </c>
      <c r="N24" s="44">
        <f t="shared" si="6"/>
        <v>0.78421632122537344</v>
      </c>
      <c r="O24" s="44">
        <f t="shared" si="6"/>
        <v>0.75856500333012244</v>
      </c>
      <c r="P24" s="44">
        <f t="shared" si="6"/>
        <v>0.77022780548325509</v>
      </c>
      <c r="Q24" s="44">
        <f t="shared" si="6"/>
        <v>0.73185648949982662</v>
      </c>
      <c r="R24" s="44" t="e">
        <f t="shared" si="6"/>
        <v>#DIV/0!</v>
      </c>
      <c r="S24" s="44">
        <f t="shared" si="6"/>
        <v>0.70575106704808765</v>
      </c>
      <c r="T24" s="44">
        <f>SUM(T25+T26)/(T34-T31-T32-T33)</f>
        <v>0.70743473051644434</v>
      </c>
      <c r="U24" s="44">
        <f t="shared" ref="U24:Z24" si="7">SUM(U25+U26)/(U34-U31-U32-U33)</f>
        <v>0.78825519327922966</v>
      </c>
      <c r="V24" s="40"/>
      <c r="W24" s="44">
        <f t="shared" si="7"/>
        <v>0.75999988392263029</v>
      </c>
      <c r="X24" s="44">
        <f t="shared" si="7"/>
        <v>0.75921919791015813</v>
      </c>
      <c r="Y24" s="44">
        <f>SUM(Y25+Y26)/(Y34-Y31-Y32-Y33-1500000)</f>
        <v>0.76725542828600279</v>
      </c>
      <c r="Z24" s="44">
        <f t="shared" si="7"/>
        <v>0.76836836939010744</v>
      </c>
      <c r="AA24" s="44">
        <f t="shared" ref="AA24" si="8">SUM(AA25+AA26)/(AA34-AA31-AA32-AA33)</f>
        <v>0.77074042840731072</v>
      </c>
      <c r="AB24" s="61"/>
    </row>
    <row r="25" spans="1:29" s="24" customFormat="1" ht="15.6" customHeight="1">
      <c r="A25" s="5">
        <v>11</v>
      </c>
      <c r="B25" s="24" t="s">
        <v>36</v>
      </c>
      <c r="C25" s="25">
        <v>6482000</v>
      </c>
      <c r="D25" s="25">
        <v>6949000</v>
      </c>
      <c r="E25" s="25">
        <v>7343000</v>
      </c>
      <c r="F25" s="25">
        <v>7851000</v>
      </c>
      <c r="G25" s="25">
        <v>8006000</v>
      </c>
      <c r="H25" s="25">
        <v>8343000</v>
      </c>
      <c r="I25" s="25">
        <v>8441000</v>
      </c>
      <c r="J25" s="25">
        <v>8750000</v>
      </c>
      <c r="K25" s="25">
        <v>9247000</v>
      </c>
      <c r="L25" s="25">
        <v>9018000</v>
      </c>
      <c r="M25" s="25">
        <v>9231681</v>
      </c>
      <c r="N25" s="25">
        <v>8092162</v>
      </c>
      <c r="O25" s="25">
        <v>7994628.2999999998</v>
      </c>
      <c r="P25" s="25">
        <v>8154947.2699999996</v>
      </c>
      <c r="Q25" s="25">
        <v>8217043.0599999996</v>
      </c>
      <c r="R25" s="40"/>
      <c r="S25" s="25">
        <v>8399565.0199999996</v>
      </c>
      <c r="T25" s="25">
        <v>8056718.7000000002</v>
      </c>
      <c r="U25" s="25">
        <v>8461442.3399999999</v>
      </c>
      <c r="V25" s="40"/>
      <c r="W25" s="25">
        <v>9941773.0500000007</v>
      </c>
      <c r="X25" s="25">
        <v>10249837</v>
      </c>
      <c r="Y25" s="25">
        <f>SUM(X25-472563)*$AB$25+472563</f>
        <v>10543155.220000001</v>
      </c>
      <c r="Z25" s="25">
        <f t="shared" ref="Z25:AA25" si="9">SUM(Y25-472563)*$AB$25+472563</f>
        <v>10845272.9866</v>
      </c>
      <c r="AA25" s="25">
        <f t="shared" si="9"/>
        <v>11156454.286198001</v>
      </c>
      <c r="AB25" s="61">
        <v>1.03</v>
      </c>
      <c r="AC25" s="43"/>
    </row>
    <row r="26" spans="1:29" s="24" customFormat="1" ht="15.6" customHeight="1">
      <c r="A26" s="5">
        <v>12</v>
      </c>
      <c r="B26" s="24" t="s">
        <v>37</v>
      </c>
      <c r="C26" s="25">
        <v>1229000</v>
      </c>
      <c r="D26" s="25">
        <v>1347000</v>
      </c>
      <c r="E26" s="25">
        <v>1502000</v>
      </c>
      <c r="F26" s="25">
        <v>1735000</v>
      </c>
      <c r="G26" s="25">
        <v>2060000</v>
      </c>
      <c r="H26" s="25">
        <v>2241000</v>
      </c>
      <c r="I26" s="25">
        <v>2490000</v>
      </c>
      <c r="J26" s="25">
        <v>2516000</v>
      </c>
      <c r="K26" s="25">
        <v>2638000</v>
      </c>
      <c r="L26" s="25">
        <v>2625000</v>
      </c>
      <c r="M26" s="25">
        <v>2767548</v>
      </c>
      <c r="N26" s="25">
        <v>2821724</v>
      </c>
      <c r="O26" s="25">
        <v>2464823.69</v>
      </c>
      <c r="P26" s="25">
        <v>2548996.11</v>
      </c>
      <c r="Q26" s="25">
        <v>2493811.04</v>
      </c>
      <c r="R26" s="40"/>
      <c r="S26" s="25">
        <v>2612400.29</v>
      </c>
      <c r="T26" s="25">
        <v>2620657.4700000002</v>
      </c>
      <c r="U26" s="25">
        <v>2671426.88</v>
      </c>
      <c r="V26" s="40"/>
      <c r="W26" s="25">
        <v>2946042.85</v>
      </c>
      <c r="X26" s="25">
        <v>3049493</v>
      </c>
      <c r="Y26" s="25">
        <f>SUM(X26*AB26)</f>
        <v>3201967.65</v>
      </c>
      <c r="Z26" s="25">
        <f t="shared" ref="Z26:Z28" si="10">SUM(Y26*AB26)</f>
        <v>3362066.0325000002</v>
      </c>
      <c r="AA26" s="25">
        <f>SUM(Z26*AB26)</f>
        <v>3530169.3341250005</v>
      </c>
      <c r="AB26" s="61">
        <v>1.05</v>
      </c>
    </row>
    <row r="27" spans="1:29" s="24" customFormat="1" ht="15.6" customHeight="1">
      <c r="A27" s="5">
        <v>13</v>
      </c>
      <c r="B27" s="24" t="s">
        <v>38</v>
      </c>
      <c r="C27" s="25">
        <v>815000</v>
      </c>
      <c r="D27" s="25">
        <v>912000</v>
      </c>
      <c r="E27" s="25">
        <v>826000</v>
      </c>
      <c r="F27" s="25">
        <v>864000</v>
      </c>
      <c r="G27" s="25">
        <v>888000</v>
      </c>
      <c r="H27" s="25">
        <v>1412000</v>
      </c>
      <c r="I27" s="25">
        <v>1191000</v>
      </c>
      <c r="J27" s="25">
        <v>1276000</v>
      </c>
      <c r="K27" s="25">
        <v>1335000</v>
      </c>
      <c r="L27" s="25">
        <v>1328000</v>
      </c>
      <c r="M27" s="25">
        <v>1524702</v>
      </c>
      <c r="N27" s="25">
        <v>1561183</v>
      </c>
      <c r="O27" s="25">
        <v>1673861.56</v>
      </c>
      <c r="P27" s="25">
        <v>1672894.38</v>
      </c>
      <c r="Q27" s="25">
        <v>1762155.51</v>
      </c>
      <c r="R27" s="40"/>
      <c r="S27" s="25">
        <v>2027032.57</v>
      </c>
      <c r="T27" s="25">
        <v>1908585.71</v>
      </c>
      <c r="U27" s="25">
        <v>1681673.13</v>
      </c>
      <c r="V27" s="40"/>
      <c r="W27" s="25">
        <v>1965677.59</v>
      </c>
      <c r="X27" s="25">
        <v>2114896</v>
      </c>
      <c r="Y27" s="25">
        <f>SUM(X27*AB27)</f>
        <v>2157193.92</v>
      </c>
      <c r="Z27" s="25">
        <f t="shared" si="10"/>
        <v>2200337.7983999997</v>
      </c>
      <c r="AA27" s="25">
        <f>SUM(Z27*AB27)</f>
        <v>2244344.5543679995</v>
      </c>
      <c r="AB27" s="61">
        <v>1.02</v>
      </c>
    </row>
    <row r="28" spans="1:29" s="24" customFormat="1" ht="15.6" customHeight="1">
      <c r="A28" s="5">
        <v>14</v>
      </c>
      <c r="B28" s="24" t="s">
        <v>39</v>
      </c>
      <c r="C28" s="25">
        <v>654000</v>
      </c>
      <c r="D28" s="25">
        <v>575000</v>
      </c>
      <c r="E28" s="25">
        <v>646000</v>
      </c>
      <c r="F28" s="25">
        <v>578000</v>
      </c>
      <c r="G28" s="25">
        <v>608000</v>
      </c>
      <c r="H28" s="25">
        <v>763000</v>
      </c>
      <c r="I28" s="25">
        <v>843000</v>
      </c>
      <c r="J28" s="25">
        <v>1000000</v>
      </c>
      <c r="K28" s="25">
        <v>807000</v>
      </c>
      <c r="L28" s="25">
        <v>738000</v>
      </c>
      <c r="M28" s="25">
        <v>646746</v>
      </c>
      <c r="N28" s="25">
        <v>687219</v>
      </c>
      <c r="O28" s="25">
        <v>725427.5</v>
      </c>
      <c r="P28" s="25">
        <v>731603.08</v>
      </c>
      <c r="Q28" s="25">
        <v>940808.78</v>
      </c>
      <c r="R28" s="40"/>
      <c r="S28" s="25">
        <v>653685.56999999995</v>
      </c>
      <c r="T28" s="25">
        <v>764042.76</v>
      </c>
      <c r="U28" s="25">
        <v>694697.17</v>
      </c>
      <c r="V28" s="40"/>
      <c r="W28" s="25">
        <v>1056217.78</v>
      </c>
      <c r="X28" s="25">
        <v>1173142</v>
      </c>
      <c r="Y28" s="25">
        <f>SUM(X28*AB28)</f>
        <v>1196604.8400000001</v>
      </c>
      <c r="Z28" s="25">
        <f t="shared" si="10"/>
        <v>1220536.9368</v>
      </c>
      <c r="AA28" s="25">
        <f>SUM(Z28*AB28)</f>
        <v>1244947.6755359999</v>
      </c>
      <c r="AB28" s="61">
        <v>1.02</v>
      </c>
    </row>
    <row r="29" spans="1:29" s="24" customFormat="1" ht="15.6" customHeight="1">
      <c r="A29" s="5">
        <v>15</v>
      </c>
      <c r="B29" s="24" t="s">
        <v>40</v>
      </c>
      <c r="C29" s="25">
        <v>579000</v>
      </c>
      <c r="D29" s="25">
        <v>86000</v>
      </c>
      <c r="E29" s="25">
        <v>136000</v>
      </c>
      <c r="F29" s="25">
        <v>44000</v>
      </c>
      <c r="G29" s="25">
        <v>68000</v>
      </c>
      <c r="H29" s="25">
        <v>229000</v>
      </c>
      <c r="I29" s="25">
        <v>312000</v>
      </c>
      <c r="J29" s="25">
        <v>90000</v>
      </c>
      <c r="K29" s="25">
        <v>157000</v>
      </c>
      <c r="L29" s="25">
        <v>91000</v>
      </c>
      <c r="M29" s="25">
        <v>151886</v>
      </c>
      <c r="N29" s="25">
        <v>120459</v>
      </c>
      <c r="O29" s="25">
        <v>251565.53</v>
      </c>
      <c r="P29" s="25">
        <v>157954.93</v>
      </c>
      <c r="Q29" s="25">
        <v>412322.07</v>
      </c>
      <c r="R29" s="40"/>
      <c r="S29" s="25">
        <v>1267377.68</v>
      </c>
      <c r="T29" s="25">
        <v>1088657.19</v>
      </c>
      <c r="U29" s="25">
        <v>218996.62</v>
      </c>
      <c r="V29" s="40"/>
      <c r="W29" s="25">
        <v>672861.2</v>
      </c>
      <c r="X29" s="25">
        <v>457429</v>
      </c>
      <c r="Y29" s="25">
        <f>SUM(X29-130000)*AB29+1500000</f>
        <v>1833977.58</v>
      </c>
      <c r="Z29" s="25">
        <f>SUM(Y29*AB29)-1500000</f>
        <v>370657.1316000002</v>
      </c>
      <c r="AA29" s="25">
        <f>SUM(Z29*AB29)</f>
        <v>378070.27423200023</v>
      </c>
      <c r="AB29" s="61">
        <v>1.02</v>
      </c>
    </row>
    <row r="30" spans="1:29" s="24" customFormat="1" ht="15.6" customHeight="1">
      <c r="A30" s="5">
        <v>16</v>
      </c>
      <c r="B30" s="24" t="s">
        <v>41</v>
      </c>
      <c r="C30" s="25">
        <v>283000</v>
      </c>
      <c r="D30" s="25">
        <v>457000</v>
      </c>
      <c r="E30" s="25">
        <v>443000</v>
      </c>
      <c r="F30" s="25">
        <v>573000</v>
      </c>
      <c r="G30" s="25">
        <v>843000</v>
      </c>
      <c r="H30" s="25">
        <v>835000</v>
      </c>
      <c r="I30" s="25">
        <v>796000</v>
      </c>
      <c r="J30" s="25">
        <v>972000</v>
      </c>
      <c r="K30" s="25">
        <v>874000</v>
      </c>
      <c r="L30" s="25">
        <v>918000</v>
      </c>
      <c r="M30" s="25">
        <v>875214</v>
      </c>
      <c r="N30" s="25">
        <v>634186</v>
      </c>
      <c r="O30" s="25">
        <v>678165</v>
      </c>
      <c r="P30" s="25">
        <f>SUM(3021840.43-1166122.51-1225000)</f>
        <v>630717.92000000016</v>
      </c>
      <c r="Q30" s="25">
        <f>SUM(4274105.83-Q31-Q39)</f>
        <v>809043.15</v>
      </c>
      <c r="R30" s="40"/>
      <c r="S30" s="25">
        <v>643125.06999999995</v>
      </c>
      <c r="T30" s="25">
        <f>SUM(130048.26+7500.79+7466+4204.42+225+989+999.65+12692+18841+273287.26+198174.95)</f>
        <v>654428.33000000007</v>
      </c>
      <c r="U30" s="25">
        <v>395188.16</v>
      </c>
      <c r="V30" s="40"/>
      <c r="W30" s="25">
        <v>375082.62</v>
      </c>
      <c r="X30" s="25">
        <v>472318</v>
      </c>
      <c r="Y30" s="25">
        <f>SUM(X30*AB30)</f>
        <v>481764.36</v>
      </c>
      <c r="Z30" s="25">
        <f>SUM(Y30*AB30)</f>
        <v>491399.64720000001</v>
      </c>
      <c r="AA30" s="25">
        <f>SUM(Z30*AB30)</f>
        <v>501227.640144</v>
      </c>
      <c r="AB30" s="61">
        <v>1.02</v>
      </c>
    </row>
    <row r="31" spans="1:29" s="24" customFormat="1" ht="15.6" customHeight="1">
      <c r="A31" s="5">
        <v>17</v>
      </c>
      <c r="B31" s="24" t="s">
        <v>42</v>
      </c>
      <c r="C31" s="25">
        <v>878000</v>
      </c>
      <c r="D31" s="25">
        <v>893000</v>
      </c>
      <c r="E31" s="25">
        <v>2080000</v>
      </c>
      <c r="F31" s="25">
        <v>1096000</v>
      </c>
      <c r="G31" s="25">
        <v>1719000</v>
      </c>
      <c r="H31" s="25">
        <v>1835000</v>
      </c>
      <c r="I31" s="25">
        <v>2168000</v>
      </c>
      <c r="J31" s="25">
        <v>2160000</v>
      </c>
      <c r="K31" s="25">
        <v>2170000</v>
      </c>
      <c r="L31" s="25">
        <v>2956000</v>
      </c>
      <c r="M31" s="25">
        <v>2291729</v>
      </c>
      <c r="N31" s="25">
        <v>2295200</v>
      </c>
      <c r="O31" s="25">
        <f>SUM(1171549.61+1070000)</f>
        <v>2241549.6100000003</v>
      </c>
      <c r="P31" s="25">
        <f>SUM(1166122.51+1225000)</f>
        <v>2391122.5099999998</v>
      </c>
      <c r="Q31" s="25">
        <f>SUM(1664000+1153345.06)</f>
        <v>2817345.06</v>
      </c>
      <c r="R31" s="40"/>
      <c r="S31" s="25">
        <f>SUM(1096013.76+1445000)</f>
        <v>2541013.7599999998</v>
      </c>
      <c r="T31" s="25">
        <f>SUM(1179093.12+1312557.6)</f>
        <v>2491650.7200000002</v>
      </c>
      <c r="U31" s="25">
        <f>SUM(1315449.96+1369070.05)</f>
        <v>2684520.01</v>
      </c>
      <c r="V31" s="40"/>
      <c r="W31" s="25">
        <v>2626325</v>
      </c>
      <c r="X31" s="25">
        <f>SUM(2189196.88+483284.38)</f>
        <v>2672481.2599999998</v>
      </c>
      <c r="Y31" s="25">
        <f>SUM(2223284.38+454636.88)</f>
        <v>2677921.2599999998</v>
      </c>
      <c r="Z31" s="25">
        <f>SUM(2324636.88+419350.63)</f>
        <v>2743987.51</v>
      </c>
      <c r="AA31" s="25">
        <f>SUM(2389350.63+378093.13)</f>
        <v>2767443.76</v>
      </c>
      <c r="AB31" s="59"/>
    </row>
    <row r="32" spans="1:29" s="24" customFormat="1" ht="15.6" customHeight="1">
      <c r="A32" s="5">
        <v>18</v>
      </c>
      <c r="B32" s="24" t="s">
        <v>43</v>
      </c>
      <c r="C32" s="25">
        <v>72000</v>
      </c>
      <c r="D32" s="25">
        <v>74000</v>
      </c>
      <c r="E32" s="25">
        <v>34000</v>
      </c>
      <c r="F32" s="25">
        <v>48000</v>
      </c>
      <c r="G32" s="25">
        <v>37000</v>
      </c>
      <c r="H32" s="25">
        <v>264000</v>
      </c>
      <c r="I32" s="25">
        <v>39000</v>
      </c>
      <c r="J32" s="25">
        <v>59000</v>
      </c>
      <c r="K32" s="25">
        <v>49000</v>
      </c>
      <c r="L32" s="25">
        <v>172000</v>
      </c>
      <c r="M32" s="25">
        <v>184641</v>
      </c>
      <c r="N32" s="25">
        <v>31476</v>
      </c>
      <c r="O32" s="25">
        <f>SUM(7162853.07-O30-O31-O33)</f>
        <v>17602.459999999963</v>
      </c>
      <c r="P32" s="25">
        <v>0</v>
      </c>
      <c r="Q32" s="25">
        <f>SUM(88784.76+101560.08+26915.77+430457.01)</f>
        <v>647717.62</v>
      </c>
      <c r="R32" s="40"/>
      <c r="S32" s="25">
        <v>1617075.28</v>
      </c>
      <c r="T32" s="25">
        <f>+T39</f>
        <v>1207759.1500000001</v>
      </c>
      <c r="U32" s="25">
        <f>+U39</f>
        <v>328093.49</v>
      </c>
      <c r="V32" s="40"/>
      <c r="W32" s="25">
        <v>2600000</v>
      </c>
      <c r="X32" s="25">
        <f>SUM(X39)</f>
        <v>0</v>
      </c>
      <c r="Y32" s="25">
        <f>SUM(Y39)</f>
        <v>0</v>
      </c>
      <c r="Z32" s="25">
        <f t="shared" ref="Z32:AA32" si="11">SUM(Z39)</f>
        <v>0</v>
      </c>
      <c r="AA32" s="25">
        <f t="shared" si="11"/>
        <v>0</v>
      </c>
      <c r="AB32" s="59"/>
    </row>
    <row r="33" spans="1:29" s="24" customFormat="1" ht="15.6" customHeight="1">
      <c r="A33" s="5">
        <v>19</v>
      </c>
      <c r="B33" s="26" t="s">
        <v>44</v>
      </c>
      <c r="C33" s="25"/>
      <c r="D33" s="25"/>
      <c r="E33" s="25"/>
      <c r="F33" s="25"/>
      <c r="G33" s="25"/>
      <c r="H33" s="25"/>
      <c r="I33" s="25"/>
      <c r="J33" s="25"/>
      <c r="K33" s="25">
        <v>0</v>
      </c>
      <c r="L33" s="25">
        <v>0</v>
      </c>
      <c r="M33" s="25">
        <v>0</v>
      </c>
      <c r="N33" s="25">
        <v>0</v>
      </c>
      <c r="O33" s="25">
        <f>SUM(53700+4171836)</f>
        <v>4225536</v>
      </c>
      <c r="P33" s="25">
        <v>0</v>
      </c>
      <c r="Q33" s="25">
        <v>0</v>
      </c>
      <c r="R33" s="40"/>
      <c r="S33" s="25">
        <v>0</v>
      </c>
      <c r="T33" s="25">
        <f>SUM(6017375.39+28521.8)</f>
        <v>6045897.1899999995</v>
      </c>
      <c r="U33" s="25">
        <v>0</v>
      </c>
      <c r="V33" s="40"/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59"/>
    </row>
    <row r="34" spans="1:29" s="24" customFormat="1" ht="16.7" customHeight="1" thickBot="1">
      <c r="A34" s="5">
        <v>20</v>
      </c>
      <c r="B34" s="28" t="s">
        <v>45</v>
      </c>
      <c r="C34" s="29">
        <f t="shared" ref="C34:J34" si="12">SUM(C25:C32)</f>
        <v>10992000</v>
      </c>
      <c r="D34" s="29">
        <f t="shared" si="12"/>
        <v>11293000</v>
      </c>
      <c r="E34" s="29">
        <f t="shared" si="12"/>
        <v>13010000</v>
      </c>
      <c r="F34" s="29">
        <f t="shared" si="12"/>
        <v>12789000</v>
      </c>
      <c r="G34" s="29">
        <f t="shared" si="12"/>
        <v>14229000</v>
      </c>
      <c r="H34" s="29">
        <f t="shared" si="12"/>
        <v>15922000</v>
      </c>
      <c r="I34" s="29">
        <f t="shared" si="12"/>
        <v>16280000</v>
      </c>
      <c r="J34" s="29">
        <f t="shared" si="12"/>
        <v>16823000</v>
      </c>
      <c r="K34" s="29">
        <f t="shared" ref="K34:Q34" si="13">SUM(K25:K33)</f>
        <v>17277000</v>
      </c>
      <c r="L34" s="29">
        <f t="shared" si="13"/>
        <v>17846000</v>
      </c>
      <c r="M34" s="29">
        <f t="shared" si="13"/>
        <v>17674147</v>
      </c>
      <c r="N34" s="29">
        <f t="shared" si="13"/>
        <v>16243609</v>
      </c>
      <c r="O34" s="29">
        <f t="shared" si="13"/>
        <v>20273159.650000002</v>
      </c>
      <c r="P34" s="29">
        <f t="shared" si="13"/>
        <v>16288236.199999997</v>
      </c>
      <c r="Q34" s="29">
        <f t="shared" si="13"/>
        <v>18100246.289999999</v>
      </c>
      <c r="R34" s="41"/>
      <c r="S34" s="29">
        <f t="shared" ref="S34:Z34" si="14">SUM(S25:S32)</f>
        <v>19761275.240000002</v>
      </c>
      <c r="T34" s="29">
        <f>SUM(T25:T33)</f>
        <v>24838397.219999999</v>
      </c>
      <c r="U34" s="29">
        <f>SUM(U25:U32)+8.46</f>
        <v>17136046.259999994</v>
      </c>
      <c r="V34" s="41"/>
      <c r="W34" s="29">
        <f t="shared" si="14"/>
        <v>22183980.09</v>
      </c>
      <c r="X34" s="29">
        <f t="shared" si="14"/>
        <v>20189596.259999998</v>
      </c>
      <c r="Y34" s="29">
        <f t="shared" si="14"/>
        <v>22092584.829999998</v>
      </c>
      <c r="Z34" s="29">
        <f t="shared" si="14"/>
        <v>21234258.043099999</v>
      </c>
      <c r="AA34" s="29">
        <f t="shared" ref="AA34" si="15">SUM(AA25:AA32)</f>
        <v>21822657.524603002</v>
      </c>
      <c r="AB34" s="59"/>
    </row>
    <row r="35" spans="1:29" s="24" customFormat="1" ht="6.75" customHeight="1" thickTop="1">
      <c r="A35" s="5"/>
      <c r="B35" s="2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0"/>
      <c r="S35" s="25"/>
      <c r="T35" s="25"/>
      <c r="U35" s="25"/>
      <c r="V35" s="40"/>
      <c r="W35" s="25"/>
      <c r="X35" s="25"/>
      <c r="Y35" s="25"/>
      <c r="Z35" s="25"/>
      <c r="AA35" s="25"/>
      <c r="AB35" s="59"/>
    </row>
    <row r="36" spans="1:29" s="28" customFormat="1" ht="18" customHeight="1">
      <c r="A36" s="5">
        <v>21</v>
      </c>
      <c r="B36" s="30" t="s">
        <v>46</v>
      </c>
      <c r="C36" s="31">
        <f t="shared" ref="C36:AA36" si="16">C22-C34</f>
        <v>-194000</v>
      </c>
      <c r="D36" s="31">
        <f t="shared" si="16"/>
        <v>-861000</v>
      </c>
      <c r="E36" s="31">
        <f t="shared" si="16"/>
        <v>-2144000</v>
      </c>
      <c r="F36" s="31">
        <f t="shared" si="16"/>
        <v>-1145000</v>
      </c>
      <c r="G36" s="31">
        <f t="shared" si="16"/>
        <v>-2005000</v>
      </c>
      <c r="H36" s="31">
        <f t="shared" si="16"/>
        <v>-3156000</v>
      </c>
      <c r="I36" s="31">
        <f t="shared" si="16"/>
        <v>-364000</v>
      </c>
      <c r="J36" s="31">
        <f t="shared" si="16"/>
        <v>-2430000</v>
      </c>
      <c r="K36" s="31">
        <f t="shared" si="16"/>
        <v>-1706000</v>
      </c>
      <c r="L36" s="31">
        <f t="shared" si="16"/>
        <v>-1225000</v>
      </c>
      <c r="M36" s="31">
        <f t="shared" si="16"/>
        <v>-425613</v>
      </c>
      <c r="N36" s="31">
        <f t="shared" si="16"/>
        <v>84377</v>
      </c>
      <c r="O36" s="31">
        <f t="shared" si="16"/>
        <v>68354.39999999851</v>
      </c>
      <c r="P36" s="31">
        <f t="shared" si="16"/>
        <v>225382.62000000104</v>
      </c>
      <c r="Q36" s="31">
        <f t="shared" si="16"/>
        <v>-546403.85000000149</v>
      </c>
      <c r="R36" s="42"/>
      <c r="S36" s="31">
        <f t="shared" si="16"/>
        <v>-2812500.4100000039</v>
      </c>
      <c r="T36" s="31">
        <f t="shared" si="16"/>
        <v>-1577262.5</v>
      </c>
      <c r="U36" s="31">
        <f t="shared" si="16"/>
        <v>1696714.7600000054</v>
      </c>
      <c r="V36" s="42"/>
      <c r="W36" s="31">
        <f t="shared" si="16"/>
        <v>-3286598.5300000012</v>
      </c>
      <c r="X36" s="31">
        <f t="shared" si="16"/>
        <v>-594126.25999999791</v>
      </c>
      <c r="Y36" s="31">
        <f t="shared" si="16"/>
        <v>-1969316.3099999949</v>
      </c>
      <c r="Z36" s="31">
        <f t="shared" si="16"/>
        <v>-516796.25769999623</v>
      </c>
      <c r="AA36" s="31">
        <f t="shared" si="16"/>
        <v>-548580.808495</v>
      </c>
      <c r="AB36" s="63"/>
    </row>
    <row r="37" spans="1:29" s="24" customFormat="1" ht="6.75" customHeight="1">
      <c r="A37" s="5"/>
      <c r="B37" s="28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0"/>
      <c r="S37" s="25"/>
      <c r="T37" s="25"/>
      <c r="U37" s="25"/>
      <c r="V37" s="40"/>
      <c r="W37" s="25"/>
      <c r="X37" s="25"/>
      <c r="Y37" s="25"/>
      <c r="Z37" s="25"/>
      <c r="AA37" s="25"/>
      <c r="AB37" s="59"/>
    </row>
    <row r="38" spans="1:29" s="28" customFormat="1" ht="12.75">
      <c r="A38" s="5">
        <v>22</v>
      </c>
      <c r="B38" s="24" t="s">
        <v>47</v>
      </c>
      <c r="C38" s="25"/>
      <c r="D38" s="25">
        <v>2000000</v>
      </c>
      <c r="E38" s="25"/>
      <c r="F38" s="25">
        <v>15329000</v>
      </c>
      <c r="G38" s="25"/>
      <c r="H38" s="25">
        <v>3740000</v>
      </c>
      <c r="I38" s="25"/>
      <c r="J38" s="25"/>
      <c r="K38" s="25">
        <v>7000000</v>
      </c>
      <c r="L38" s="25"/>
      <c r="M38" s="25"/>
      <c r="N38" s="25"/>
      <c r="O38" s="25"/>
      <c r="P38" s="25"/>
      <c r="Q38" s="25">
        <v>446500</v>
      </c>
      <c r="R38" s="40"/>
      <c r="S38" s="25"/>
      <c r="T38" s="25">
        <v>3790000</v>
      </c>
      <c r="U38" s="25"/>
      <c r="V38" s="40"/>
      <c r="W38" s="25"/>
      <c r="X38" s="25"/>
      <c r="Y38" s="25"/>
      <c r="Z38" s="25"/>
      <c r="AA38" s="25"/>
      <c r="AB38" s="63"/>
    </row>
    <row r="39" spans="1:29" s="28" customFormat="1" ht="12.75">
      <c r="A39" s="5">
        <v>23</v>
      </c>
      <c r="B39" s="24" t="s">
        <v>48</v>
      </c>
      <c r="C39" s="25"/>
      <c r="D39" s="25"/>
      <c r="E39" s="25"/>
      <c r="F39" s="25"/>
      <c r="G39" s="25"/>
      <c r="H39" s="25">
        <v>12986000</v>
      </c>
      <c r="I39" s="25">
        <v>1443000</v>
      </c>
      <c r="J39" s="25"/>
      <c r="K39" s="25"/>
      <c r="L39" s="25"/>
      <c r="M39" s="25"/>
      <c r="N39" s="25"/>
      <c r="O39" s="25"/>
      <c r="P39" s="25"/>
      <c r="Q39" s="25">
        <f>SUM(88784.76+101560.08+26915.77+430457.01)</f>
        <v>647717.62</v>
      </c>
      <c r="R39" s="40"/>
      <c r="S39" s="25">
        <v>1617075.28</v>
      </c>
      <c r="T39" s="25">
        <f>SUM(207410.19+490397.69+13511+428697.91+67742.36)</f>
        <v>1207759.1500000001</v>
      </c>
      <c r="U39" s="25">
        <v>328093.49</v>
      </c>
      <c r="V39" s="40"/>
      <c r="W39" s="25"/>
      <c r="X39" s="25"/>
      <c r="Y39" s="25"/>
      <c r="Z39" s="25"/>
      <c r="AA39" s="25"/>
      <c r="AB39" s="63"/>
    </row>
    <row r="40" spans="1:29" s="28" customFormat="1" ht="12.75">
      <c r="A40" s="5">
        <v>24</v>
      </c>
      <c r="B40" s="24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>
        <v>454773.21</v>
      </c>
      <c r="R40" s="40"/>
      <c r="S40" s="25"/>
      <c r="T40" s="25"/>
      <c r="U40" s="25"/>
      <c r="V40" s="40"/>
      <c r="W40" s="25"/>
      <c r="X40" s="25"/>
      <c r="Y40" s="25"/>
      <c r="Z40" s="25"/>
      <c r="AA40" s="25"/>
      <c r="AB40" s="63"/>
    </row>
    <row r="41" spans="1:29" s="28" customFormat="1" ht="12.75">
      <c r="A41" s="5">
        <v>25</v>
      </c>
      <c r="B41" s="24" t="s">
        <v>50</v>
      </c>
      <c r="C41" s="25"/>
      <c r="D41" s="25"/>
      <c r="E41" s="25"/>
      <c r="F41" s="25"/>
      <c r="G41" s="25"/>
      <c r="H41" s="25"/>
      <c r="I41" s="25">
        <v>1135000</v>
      </c>
      <c r="J41" s="25"/>
      <c r="K41" s="25"/>
      <c r="L41" s="25">
        <v>200000</v>
      </c>
      <c r="M41" s="25">
        <v>200000</v>
      </c>
      <c r="N41" s="25">
        <v>200000</v>
      </c>
      <c r="O41" s="25">
        <v>200000</v>
      </c>
      <c r="P41" s="25">
        <v>200000</v>
      </c>
      <c r="Q41" s="25"/>
      <c r="R41" s="40"/>
      <c r="S41" s="25"/>
      <c r="T41" s="25"/>
      <c r="U41" s="25"/>
      <c r="V41" s="40"/>
      <c r="W41" s="25"/>
      <c r="X41" s="25"/>
      <c r="Y41" s="25"/>
      <c r="Z41" s="25"/>
      <c r="AA41" s="25"/>
      <c r="AB41" s="63"/>
    </row>
    <row r="42" spans="1:29" s="28" customFormat="1" ht="12.75">
      <c r="A42" s="5">
        <v>26</v>
      </c>
      <c r="B42" s="24" t="s">
        <v>43</v>
      </c>
      <c r="C42" s="25"/>
      <c r="D42" s="25">
        <v>-1653000</v>
      </c>
      <c r="E42" s="25"/>
      <c r="F42" s="25">
        <v>-2958000</v>
      </c>
      <c r="G42" s="25">
        <v>-2654000</v>
      </c>
      <c r="H42" s="25">
        <v>-17350000</v>
      </c>
      <c r="I42" s="25">
        <v>-3936000</v>
      </c>
      <c r="J42" s="25">
        <v>-465000</v>
      </c>
      <c r="K42" s="25"/>
      <c r="L42" s="25"/>
      <c r="M42" s="25"/>
      <c r="N42" s="25"/>
      <c r="O42" s="25"/>
      <c r="P42" s="25"/>
      <c r="Q42" s="25"/>
      <c r="R42" s="40"/>
      <c r="S42" s="25"/>
      <c r="T42" s="25"/>
      <c r="U42" s="25"/>
      <c r="V42" s="40"/>
      <c r="W42" s="25">
        <v>2600000</v>
      </c>
      <c r="X42" s="25"/>
      <c r="Y42" s="25"/>
      <c r="Z42" s="25"/>
      <c r="AA42" s="25"/>
      <c r="AB42" s="63"/>
    </row>
    <row r="43" spans="1:29" s="24" customFormat="1" ht="18" customHeight="1">
      <c r="A43" s="5">
        <v>27</v>
      </c>
      <c r="B43" s="32" t="s">
        <v>51</v>
      </c>
      <c r="C43" s="31">
        <f t="shared" ref="C43:N43" si="17">C13+C22-C34+C38+C39+C41+C42</f>
        <v>7795000</v>
      </c>
      <c r="D43" s="31">
        <f t="shared" si="17"/>
        <v>7281000</v>
      </c>
      <c r="E43" s="31">
        <f t="shared" si="17"/>
        <v>5137000</v>
      </c>
      <c r="F43" s="31">
        <f t="shared" si="17"/>
        <v>16363000</v>
      </c>
      <c r="G43" s="31">
        <f t="shared" si="17"/>
        <v>11704000</v>
      </c>
      <c r="H43" s="31">
        <f t="shared" si="17"/>
        <v>7924000</v>
      </c>
      <c r="I43" s="31">
        <f t="shared" si="17"/>
        <v>6202000</v>
      </c>
      <c r="J43" s="31">
        <f t="shared" si="17"/>
        <v>3307000</v>
      </c>
      <c r="K43" s="31">
        <f t="shared" si="17"/>
        <v>8601000</v>
      </c>
      <c r="L43" s="31">
        <f t="shared" si="17"/>
        <v>7576000</v>
      </c>
      <c r="M43" s="31">
        <f t="shared" si="17"/>
        <v>7350387</v>
      </c>
      <c r="N43" s="31">
        <f t="shared" si="17"/>
        <v>7634764</v>
      </c>
      <c r="O43" s="31">
        <f>O13+O22-O34+O38+O39+O41+O42+9287</f>
        <v>7912299.4299999997</v>
      </c>
      <c r="P43" s="31">
        <f>P13+P22-P34+P38+P39+P40+P41+P42-3598</f>
        <v>8334084.0500000026</v>
      </c>
      <c r="Q43" s="31">
        <f>Q13+Q22-Q34+Q38+Q39+Q40+Q41+Q42-1163</f>
        <v>9335508.0300000031</v>
      </c>
      <c r="R43" s="42"/>
      <c r="S43" s="31">
        <f>S13+S22-S34+S38+S39+S41+S42-799.25</f>
        <v>8139283.6499999976</v>
      </c>
      <c r="T43" s="31">
        <f>T13+T22-T34+T38+T39+T41+T42+4875</f>
        <v>11564655.299999999</v>
      </c>
      <c r="U43" s="31">
        <f>U13+U22-U34+U38+U39+U41+U42+7862.31</f>
        <v>13597325.860000007</v>
      </c>
      <c r="V43" s="42"/>
      <c r="W43" s="31">
        <f t="shared" ref="W43:AA43" si="18">W13+W22-W34+W38+W39+W41+W42</f>
        <v>12910727.330000006</v>
      </c>
      <c r="X43" s="31">
        <f t="shared" si="18"/>
        <v>12316601.070000008</v>
      </c>
      <c r="Y43" s="31">
        <f t="shared" si="18"/>
        <v>10347284.760000013</v>
      </c>
      <c r="Z43" s="31">
        <f t="shared" si="18"/>
        <v>9830488.5023000166</v>
      </c>
      <c r="AA43" s="31">
        <f t="shared" si="18"/>
        <v>9281907.6938050166</v>
      </c>
      <c r="AB43" s="63"/>
      <c r="AC43" s="28"/>
    </row>
    <row r="44" spans="1:29" s="24" customFormat="1" ht="6" customHeight="1">
      <c r="A44" s="5"/>
      <c r="B44" s="3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38"/>
      <c r="S44" s="20"/>
      <c r="T44" s="20"/>
      <c r="U44" s="20"/>
      <c r="V44" s="38"/>
      <c r="W44" s="20"/>
      <c r="X44" s="20"/>
      <c r="Y44" s="20"/>
      <c r="Z44" s="20"/>
      <c r="AA44" s="20"/>
      <c r="AB44" s="63"/>
      <c r="AC44" s="28"/>
    </row>
    <row r="45" spans="1:29" s="7" customFormat="1" ht="15">
      <c r="A45" s="34" t="s">
        <v>52</v>
      </c>
      <c r="B45" s="65" t="s">
        <v>53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34"/>
      <c r="Q45" s="56"/>
      <c r="R45" s="52"/>
      <c r="S45" s="52"/>
      <c r="T45" s="34" t="s">
        <v>52</v>
      </c>
      <c r="U45" s="66" t="s">
        <v>54</v>
      </c>
      <c r="V45" s="52"/>
      <c r="W45" s="52"/>
      <c r="X45" s="52"/>
      <c r="Y45" s="52"/>
      <c r="Z45" s="52"/>
      <c r="AA45" s="52"/>
      <c r="AB45" s="63"/>
      <c r="AC45" s="28"/>
    </row>
    <row r="46" spans="1:29" s="7" customFormat="1" ht="12.75">
      <c r="A46" s="5">
        <v>3</v>
      </c>
      <c r="B46" s="6" t="s">
        <v>68</v>
      </c>
      <c r="C46" s="52"/>
      <c r="D46" s="52"/>
      <c r="E46" s="5"/>
      <c r="F46" s="55"/>
      <c r="G46" s="52"/>
      <c r="H46" s="52"/>
      <c r="I46" s="52"/>
      <c r="J46" s="52"/>
      <c r="K46" s="52"/>
      <c r="L46" s="52"/>
      <c r="M46" s="5"/>
      <c r="N46" s="55"/>
      <c r="O46" s="52"/>
      <c r="P46" s="5"/>
      <c r="Q46" s="57"/>
      <c r="R46" s="52"/>
      <c r="S46" s="52"/>
      <c r="T46" s="5">
        <v>11</v>
      </c>
      <c r="U46" s="57" t="s">
        <v>69</v>
      </c>
      <c r="V46" s="52"/>
      <c r="W46" s="52"/>
      <c r="X46" s="52"/>
      <c r="Y46" s="52"/>
      <c r="Z46" s="52"/>
      <c r="AA46" s="52"/>
      <c r="AB46" s="63"/>
      <c r="AC46" s="28"/>
    </row>
    <row r="47" spans="1:29" s="7" customFormat="1" ht="12.75">
      <c r="A47" s="5">
        <v>4</v>
      </c>
      <c r="B47" s="6" t="s">
        <v>70</v>
      </c>
      <c r="C47" s="52"/>
      <c r="D47" s="52"/>
      <c r="E47" s="5"/>
      <c r="F47" s="55"/>
      <c r="G47" s="52"/>
      <c r="H47" s="52"/>
      <c r="I47" s="52"/>
      <c r="J47" s="52"/>
      <c r="K47" s="52"/>
      <c r="L47" s="52"/>
      <c r="M47" s="5"/>
      <c r="N47" s="55"/>
      <c r="O47" s="52"/>
      <c r="P47" s="5"/>
      <c r="Q47" s="57"/>
      <c r="R47" s="52"/>
      <c r="S47" s="52"/>
      <c r="T47" s="5">
        <v>12</v>
      </c>
      <c r="U47" s="57" t="s">
        <v>58</v>
      </c>
      <c r="V47" s="52"/>
      <c r="W47" s="52"/>
      <c r="X47" s="52"/>
      <c r="Y47" s="52"/>
      <c r="Z47" s="52"/>
      <c r="AA47" s="52"/>
      <c r="AB47" s="63"/>
      <c r="AC47" s="28"/>
    </row>
    <row r="48" spans="1:29" s="7" customFormat="1" ht="12.75">
      <c r="A48" s="5">
        <v>5</v>
      </c>
      <c r="B48" s="6" t="s">
        <v>71</v>
      </c>
      <c r="C48" s="52"/>
      <c r="D48" s="52"/>
      <c r="E48" s="5"/>
      <c r="F48" s="55"/>
      <c r="G48" s="52"/>
      <c r="H48" s="52"/>
      <c r="I48" s="52"/>
      <c r="J48" s="52"/>
      <c r="K48" s="52"/>
      <c r="L48" s="52"/>
      <c r="M48" s="5"/>
      <c r="N48" s="55"/>
      <c r="O48" s="52"/>
      <c r="P48" s="5"/>
      <c r="Q48" s="57"/>
      <c r="R48" s="52"/>
      <c r="S48" s="52"/>
      <c r="T48" s="5" t="s">
        <v>60</v>
      </c>
      <c r="U48" s="57" t="s">
        <v>72</v>
      </c>
      <c r="V48" s="52"/>
      <c r="W48" s="52"/>
      <c r="X48" s="52"/>
      <c r="Y48" s="52"/>
      <c r="Z48" s="52"/>
      <c r="AA48" s="52"/>
      <c r="AB48" s="63"/>
      <c r="AC48" s="28"/>
    </row>
    <row r="49" spans="1:29" s="7" customFormat="1" ht="12.75">
      <c r="A49" s="5" t="s">
        <v>62</v>
      </c>
      <c r="B49" s="6" t="s">
        <v>73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"/>
      <c r="Q49" s="57"/>
      <c r="R49" s="52"/>
      <c r="S49" s="52"/>
      <c r="T49" s="5">
        <v>17</v>
      </c>
      <c r="U49" s="57" t="s">
        <v>74</v>
      </c>
      <c r="V49" s="52"/>
      <c r="W49" s="52"/>
      <c r="X49" s="52"/>
      <c r="Y49" s="52"/>
      <c r="Z49" s="52"/>
      <c r="AA49" s="52"/>
      <c r="AB49" s="63"/>
      <c r="AC49" s="28"/>
    </row>
    <row r="50" spans="1:29" ht="12.75">
      <c r="A50" s="5"/>
      <c r="B50" s="6"/>
      <c r="P50" s="5"/>
      <c r="Q50" s="55"/>
      <c r="AB50" s="63"/>
      <c r="AC50" s="28"/>
    </row>
    <row r="51" spans="1:29" ht="12.75">
      <c r="A51" s="5"/>
      <c r="B51" s="6"/>
      <c r="AB51" s="63"/>
      <c r="AC51" s="28"/>
    </row>
    <row r="52" spans="1:29" ht="12.75">
      <c r="A52" s="5"/>
      <c r="B52" s="6"/>
      <c r="AB52" s="63"/>
      <c r="AC52" s="28"/>
    </row>
    <row r="53" spans="1:29" ht="12.75">
      <c r="AB53" s="63"/>
      <c r="AC53" s="28"/>
    </row>
    <row r="54" spans="1:29" ht="12.75">
      <c r="AB54" s="63"/>
      <c r="AC54" s="28"/>
    </row>
    <row r="55" spans="1:29" ht="12.75">
      <c r="AB55" s="63"/>
      <c r="AC55" s="28"/>
    </row>
    <row r="56" spans="1:29" ht="12.75">
      <c r="AB56" s="63"/>
      <c r="AC56" s="28"/>
    </row>
    <row r="57" spans="1:29" ht="12.75">
      <c r="AB57" s="63"/>
      <c r="AC57" s="28"/>
    </row>
    <row r="58" spans="1:29" ht="12.75">
      <c r="AB58" s="63"/>
      <c r="AC58" s="28"/>
    </row>
    <row r="59" spans="1:29" ht="12.75">
      <c r="AB59" s="63"/>
      <c r="AC59" s="28"/>
    </row>
    <row r="60" spans="1:29" ht="12.75">
      <c r="AB60" s="63"/>
      <c r="AC60" s="28"/>
    </row>
    <row r="61" spans="1:29" ht="12.75">
      <c r="AB61" s="63"/>
      <c r="AC61" s="28"/>
    </row>
    <row r="62" spans="1:29" ht="12.75">
      <c r="AB62" s="63"/>
      <c r="AC62" s="28"/>
    </row>
    <row r="63" spans="1:29" ht="12.75">
      <c r="AB63" s="63"/>
      <c r="AC63" s="28"/>
    </row>
    <row r="64" spans="1:29" ht="12.75">
      <c r="AB64" s="63"/>
      <c r="AC64" s="28"/>
    </row>
    <row r="65" spans="28:29" ht="12.75">
      <c r="AB65" s="63"/>
      <c r="AC65" s="28"/>
    </row>
    <row r="66" spans="28:29" ht="12.75">
      <c r="AB66" s="63"/>
      <c r="AC66" s="28"/>
    </row>
  </sheetData>
  <printOptions horizontalCentered="1"/>
  <pageMargins left="0" right="0" top="0" bottom="0.5" header="0.5" footer="0.15"/>
  <pageSetup paperSize="5" scale="87" orientation="landscape" verticalDpi="300" r:id="rId1"/>
  <headerFooter>
    <oddFooter>Page &amp;P&amp;RAPSD 145 - Financial Update - September 2019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1682F5B192284287C3D21F9D5F0AA2" ma:contentTypeVersion="10" ma:contentTypeDescription="Create a new document." ma:contentTypeScope="" ma:versionID="dbdfcdb9ca8f67995a2409022f5dfdb2">
  <xsd:schema xmlns:xsd="http://www.w3.org/2001/XMLSchema" xmlns:xs="http://www.w3.org/2001/XMLSchema" xmlns:p="http://schemas.microsoft.com/office/2006/metadata/properties" xmlns:ns3="affc74f7-b734-4284-9e7f-f1e4845db1ef" targetNamespace="http://schemas.microsoft.com/office/2006/metadata/properties" ma:root="true" ma:fieldsID="a72c9ea555b606c2395c3923537845f6" ns3:_="">
    <xsd:import namespace="affc74f7-b734-4284-9e7f-f1e4845db1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c74f7-b734-4284-9e7f-f1e4845db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D50834-AA6E-4E8C-9A61-62CF791F5014}"/>
</file>

<file path=customXml/itemProps2.xml><?xml version="1.0" encoding="utf-8"?>
<ds:datastoreItem xmlns:ds="http://schemas.openxmlformats.org/officeDocument/2006/customXml" ds:itemID="{004C1D83-0BB1-4E30-9EE1-268B7B4CBC8E}"/>
</file>

<file path=customXml/itemProps3.xml><?xml version="1.0" encoding="utf-8"?>
<ds:datastoreItem xmlns:ds="http://schemas.openxmlformats.org/officeDocument/2006/customXml" ds:itemID="{33CB9463-BE08-4505-B734-CDB88C8D0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Joseph Staszewski</cp:lastModifiedBy>
  <cp:revision/>
  <dcterms:created xsi:type="dcterms:W3CDTF">2003-09-08T22:28:59Z</dcterms:created>
  <dcterms:modified xsi:type="dcterms:W3CDTF">2022-10-04T19:57:30Z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0x010100171682F5B192284287C3D21F9D5F0AA2</vt:lpwstr>
  </property>
</Properties>
</file>